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5" activeTab="0"/>
  </bookViews>
  <sheets>
    <sheet name="Ganhos" sheetId="1" r:id="rId1"/>
    <sheet name="Geral" sheetId="2" r:id="rId2"/>
    <sheet name="Jan_2019" sheetId="3" r:id="rId3"/>
    <sheet name="Fev_2019" sheetId="4" r:id="rId4"/>
    <sheet name="Mar_2019" sheetId="5" r:id="rId5"/>
    <sheet name="Abr_2019" sheetId="6" r:id="rId6"/>
    <sheet name="Mai_2019" sheetId="7" r:id="rId7"/>
  </sheets>
  <definedNames>
    <definedName name="_xlfn.COUNTIFS" hidden="1">#NAME?</definedName>
  </definedNames>
  <calcPr fullCalcOnLoad="1"/>
</workbook>
</file>

<file path=xl/comments1.xml><?xml version="1.0" encoding="utf-8"?>
<comments xmlns="http://schemas.openxmlformats.org/spreadsheetml/2006/main">
  <authors>
    <author/>
  </authors>
  <commentList>
    <comment ref="H1" authorId="0">
      <text>
        <r>
          <rPr>
            <sz val="11"/>
            <color indexed="8"/>
            <rFont val="Arial"/>
            <family val="2"/>
          </rPr>
          <t>1 – genérico
2 – venda de fotos
3 – blog
4 – airbnb
5 – livro</t>
        </r>
      </text>
    </comment>
    <comment ref="C95" authorId="0">
      <text>
        <r>
          <rPr>
            <sz val="11"/>
            <color indexed="8"/>
            <rFont val="Arial"/>
            <family val="2"/>
          </rPr>
          <t>Era pra ser 441, mas o santanderroubou 60</t>
        </r>
      </text>
    </comment>
    <comment ref="D96" authorId="0">
      <text>
        <r>
          <rPr>
            <sz val="11"/>
            <color indexed="8"/>
            <rFont val="Arial"/>
            <family val="2"/>
          </rPr>
          <t>A empresa de ônibus não nos levou até a cidade onde deveria nos levar, então nos deu dinheiro para um táxi. Mas conseguimos carona</t>
        </r>
      </text>
    </comment>
  </commentList>
</comments>
</file>

<file path=xl/comments2.xml><?xml version="1.0" encoding="utf-8"?>
<comments xmlns="http://schemas.openxmlformats.org/spreadsheetml/2006/main">
  <authors>
    <author/>
  </authors>
  <commentList>
    <comment ref="U4" authorId="0">
      <text>
        <r>
          <rPr>
            <sz val="10"/>
            <color indexed="8"/>
            <rFont val="Arial"/>
            <family val="2"/>
          </rPr>
          <t>Barco</t>
        </r>
      </text>
    </comment>
    <comment ref="U8" authorId="0">
      <text>
        <r>
          <rPr>
            <sz val="10"/>
            <color indexed="8"/>
            <rFont val="Arial"/>
            <family val="2"/>
          </rPr>
          <t>Dormimos no caminhão em Calama</t>
        </r>
      </text>
    </comment>
    <comment ref="M12" authorId="0">
      <text>
        <r>
          <rPr>
            <sz val="10"/>
            <color indexed="8"/>
            <rFont val="Arial"/>
            <family val="2"/>
          </rPr>
          <t>Compramos um tablet novo</t>
        </r>
      </text>
    </comment>
    <comment ref="P16" authorId="0">
      <text>
        <r>
          <rPr>
            <sz val="10"/>
            <color indexed="8"/>
            <rFont val="Arial"/>
            <family val="2"/>
          </rPr>
          <t>Em uma rede no Lago Maracaibo</t>
        </r>
      </text>
    </comment>
    <comment ref="M24" authorId="0">
      <text>
        <r>
          <rPr>
            <sz val="11"/>
            <color indexed="8"/>
            <rFont val="Arial"/>
            <family val="2"/>
          </rPr>
          <t>Precisamos comprar um computador novo</t>
        </r>
      </text>
    </comment>
    <comment ref="D27" authorId="0">
      <text>
        <r>
          <rPr>
            <sz val="11"/>
            <color indexed="8"/>
            <rFont val="Arial"/>
            <family val="2"/>
          </rPr>
          <t>Inclui a compra de uma GoPro</t>
        </r>
      </text>
    </comment>
    <comment ref="M27" authorId="0">
      <text>
        <r>
          <rPr>
            <sz val="11"/>
            <color indexed="8"/>
            <rFont val="Arial"/>
            <family val="2"/>
          </rPr>
          <t>Compramos uma GoPro</t>
        </r>
      </text>
    </comment>
    <comment ref="L42" authorId="0">
      <text>
        <r>
          <rPr>
            <sz val="11"/>
            <color indexed="8"/>
            <rFont val="Arial"/>
            <family val="2"/>
          </rPr>
          <t>Visto da China</t>
        </r>
      </text>
    </comment>
  </commentList>
</comments>
</file>

<file path=xl/comments3.xml><?xml version="1.0" encoding="utf-8"?>
<comments xmlns="http://schemas.openxmlformats.org/spreadsheetml/2006/main">
  <authors>
    <author/>
  </authors>
  <commentList>
    <comment ref="B8" authorId="0">
      <text>
        <r>
          <rPr>
            <sz val="11"/>
            <color indexed="8"/>
            <rFont val="Arial"/>
            <family val="2"/>
          </rPr>
          <t>Passagem de Da Nang para Ho Chi Minh + passagens de ônibus para o terminal</t>
        </r>
      </text>
    </comment>
    <comment ref="B9" authorId="0">
      <text>
        <r>
          <rPr>
            <sz val="11"/>
            <color indexed="8"/>
            <rFont val="Arial"/>
            <family val="2"/>
          </rPr>
          <t>Ônibus do terminal até o centro</t>
        </r>
      </text>
    </comment>
    <comment ref="J9" authorId="0">
      <text>
        <r>
          <rPr>
            <sz val="11"/>
            <color indexed="8"/>
            <rFont val="Arial"/>
            <family val="2"/>
          </rPr>
          <t>Banheiro no terminal</t>
        </r>
      </text>
    </comment>
    <comment ref="H10" authorId="0">
      <text>
        <r>
          <rPr>
            <sz val="11"/>
            <color indexed="8"/>
            <rFont val="Arial"/>
            <family val="2"/>
          </rPr>
          <t>Entradas para o Museu da Guerra e para o Palácio da Independência</t>
        </r>
      </text>
    </comment>
    <comment ref="B11" authorId="0">
      <text>
        <r>
          <rPr>
            <sz val="11"/>
            <color indexed="8"/>
            <rFont val="Arial"/>
            <family val="2"/>
          </rPr>
          <t>Alugel de moto + gasolina</t>
        </r>
      </text>
    </comment>
    <comment ref="H11" authorId="0">
      <text>
        <r>
          <rPr>
            <sz val="11"/>
            <color indexed="8"/>
            <rFont val="Arial"/>
            <family val="2"/>
          </rPr>
          <t>Entradas para os túneis usados pelos Vietcongs</t>
        </r>
      </text>
    </comment>
    <comment ref="J13" authorId="0">
      <text>
        <r>
          <rPr>
            <sz val="11"/>
            <color indexed="8"/>
            <rFont val="Arial"/>
            <family val="2"/>
          </rPr>
          <t>-Dentista (a Michele precisou extrair um dente) + remédios</t>
        </r>
      </text>
    </comment>
    <comment ref="J15" authorId="0">
      <text>
        <r>
          <rPr>
            <sz val="11"/>
            <color indexed="8"/>
            <rFont val="Arial"/>
            <family val="2"/>
          </rPr>
          <t>Uma cerveja</t>
        </r>
      </text>
    </comment>
    <comment ref="B17" authorId="0">
      <text>
        <r>
          <rPr>
            <sz val="11"/>
            <color indexed="8"/>
            <rFont val="Arial"/>
            <family val="2"/>
          </rPr>
          <t>-Passagem de ônibus até o terminal de Ho Chi Minh (nos cobraram 4 passagens por conta das mochilas);
-Passagem para Can Tho
-Grab para o hotel (dividimos com outro estrangeiro)</t>
        </r>
      </text>
    </comment>
    <comment ref="F19" authorId="0">
      <text>
        <r>
          <rPr>
            <sz val="11"/>
            <color indexed="8"/>
            <rFont val="Arial"/>
            <family val="2"/>
          </rPr>
          <t>110.000 Foi uma parada no passeio que fizemos para comer. Saiu um pouco mais caro porque convidamos o barqueiro para comer com a gente</t>
        </r>
      </text>
    </comment>
    <comment ref="B21" authorId="0">
      <text>
        <r>
          <rPr>
            <sz val="11"/>
            <color indexed="8"/>
            <rFont val="Arial"/>
            <family val="2"/>
          </rPr>
          <t xml:space="preserve">Ônibus de Can Tho para Chau Doc. </t>
        </r>
      </text>
    </comment>
    <comment ref="B23" authorId="0">
      <text>
        <r>
          <rPr>
            <sz val="11"/>
            <color indexed="8"/>
            <rFont val="Arial"/>
            <family val="2"/>
          </rPr>
          <t>Passagens para Ho Chi Minh (compramos para amanhã)</t>
        </r>
      </text>
    </comment>
    <comment ref="B24" authorId="0">
      <text>
        <r>
          <rPr>
            <sz val="11"/>
            <color indexed="8"/>
            <rFont val="Arial"/>
            <family val="2"/>
          </rPr>
          <t>Onibus para o centro de Ho Chi Minh (nos cobraram 4 passagens por conta das mochilas)</t>
        </r>
      </text>
    </comment>
    <comment ref="J25" authorId="0">
      <text>
        <r>
          <rPr>
            <sz val="11"/>
            <color indexed="8"/>
            <rFont val="Arial"/>
            <family val="2"/>
          </rPr>
          <t>Duas cervejas num bar que paramos para ver o jogo do Vietnã</t>
        </r>
      </text>
    </comment>
    <comment ref="J26" authorId="0">
      <text>
        <r>
          <rPr>
            <sz val="11"/>
            <color indexed="8"/>
            <rFont val="Arial"/>
            <family val="2"/>
          </rPr>
          <t>Suco</t>
        </r>
      </text>
    </comment>
    <comment ref="B27" authorId="0">
      <text>
        <r>
          <rPr>
            <sz val="11"/>
            <color indexed="8"/>
            <rFont val="Arial"/>
            <family val="2"/>
          </rPr>
          <t>Passagens para o terminal de ônibus + duas passagens para Vung Tau</t>
        </r>
      </text>
    </comment>
    <comment ref="B30" authorId="0">
      <text>
        <r>
          <rPr>
            <sz val="11"/>
            <color indexed="8"/>
            <rFont val="Arial"/>
            <family val="2"/>
          </rPr>
          <t>Passagens de ônibus para Mui Ne. Deveria custar 100 mil, mas por conta do feriado subiram para 192.</t>
        </r>
      </text>
    </comment>
    <comment ref="B31" authorId="0">
      <text>
        <r>
          <rPr>
            <sz val="11"/>
            <color indexed="8"/>
            <rFont val="Arial"/>
            <family val="2"/>
          </rPr>
          <t>-180000: passagens para Da Lat (normal seria 130 mil, mas subiram por conta do feriado);
-Os outros foram passagens para ir e voltar das dunas</t>
        </r>
      </text>
    </comment>
  </commentList>
</comments>
</file>

<file path=xl/comments4.xml><?xml version="1.0" encoding="utf-8"?>
<comments xmlns="http://schemas.openxmlformats.org/spreadsheetml/2006/main">
  <authors>
    <author/>
  </authors>
  <commentList>
    <comment ref="J5" authorId="0">
      <text>
        <r>
          <rPr>
            <sz val="11"/>
            <color indexed="8"/>
            <rFont val="Arial"/>
            <family val="2"/>
          </rPr>
          <t xml:space="preserve">Compramos cerveja, pois o dono do hotel nos convidou para celebrar o TET com ele e sua família amanhã
</t>
        </r>
      </text>
    </comment>
    <comment ref="B6" authorId="0">
      <text>
        <r>
          <rPr>
            <sz val="11"/>
            <color indexed="8"/>
            <rFont val="Arial"/>
            <family val="2"/>
          </rPr>
          <t>Passagens para Nha Trang</t>
        </r>
      </text>
    </comment>
    <comment ref="F9" authorId="0">
      <text>
        <r>
          <rPr>
            <sz val="11"/>
            <color indexed="8"/>
            <rFont val="Arial"/>
            <family val="2"/>
          </rPr>
          <t>Jantamos em um “coma a vontade” de frutos do mar. Esta foi nossa única refeição do dia.</t>
        </r>
      </text>
    </comment>
    <comment ref="L10" authorId="0">
      <text>
        <r>
          <rPr>
            <sz val="11"/>
            <color indexed="8"/>
            <rFont val="Arial"/>
            <family val="2"/>
          </rPr>
          <t>Tivemos que ficar em um hotel bem caro por um erro do Hoteis.com, que nos reservou um hotel que não existia. Estamos esperando resposta deles para ver se teremos reembolso deste valor</t>
        </r>
      </text>
    </comment>
    <comment ref="B15" authorId="0">
      <text>
        <r>
          <rPr>
            <sz val="11"/>
            <color indexed="8"/>
            <rFont val="Arial"/>
            <family val="2"/>
          </rPr>
          <t>Passagens de trem para Da Nang (para amanhã) e ônibus até o local do massacre de My Lai</t>
        </r>
      </text>
    </comment>
    <comment ref="H15" authorId="0">
      <text>
        <r>
          <rPr>
            <sz val="11"/>
            <color indexed="8"/>
            <rFont val="Arial"/>
            <family val="2"/>
          </rPr>
          <t>Duas entradas para o museu do massacre de My Lai</t>
        </r>
      </text>
    </comment>
    <comment ref="B16" authorId="0">
      <text>
        <r>
          <rPr>
            <sz val="11"/>
            <color indexed="8"/>
            <rFont val="Arial"/>
            <family val="2"/>
          </rPr>
          <t>Tàxi até a estação de trem</t>
        </r>
      </text>
    </comment>
    <comment ref="B17" authorId="0">
      <text>
        <r>
          <rPr>
            <sz val="11"/>
            <color indexed="8"/>
            <rFont val="Arial"/>
            <family val="2"/>
          </rPr>
          <t>Ônibus do centro para a Rodoviária – 15 mil cada
340 ònibus para Hanói</t>
        </r>
      </text>
    </comment>
    <comment ref="B18" authorId="0">
      <text>
        <r>
          <rPr>
            <sz val="11"/>
            <color indexed="8"/>
            <rFont val="Arial"/>
            <family val="2"/>
          </rPr>
          <t xml:space="preserve">2 passagens da rodoviária até o centro </t>
        </r>
      </text>
    </comment>
    <comment ref="J18" authorId="0">
      <text>
        <r>
          <rPr>
            <sz val="11"/>
            <color indexed="8"/>
            <rFont val="Arial"/>
            <family val="2"/>
          </rPr>
          <t>Banheiro na rodoviária de Hanói</t>
        </r>
      </text>
    </comment>
    <comment ref="J19" authorId="0">
      <text>
        <r>
          <rPr>
            <sz val="11"/>
            <color indexed="8"/>
            <rFont val="Arial"/>
            <family val="2"/>
          </rPr>
          <t>96 mil - Cópias das reservas para o visto da China 
100 mil – fotos para o visto
600 mil – Reservamos uma passagem aérea para o Brasil para apresentar no consulado chinês</t>
        </r>
      </text>
    </comment>
    <comment ref="J22" authorId="0">
      <text>
        <r>
          <rPr>
            <sz val="11"/>
            <color indexed="8"/>
            <rFont val="Arial"/>
            <family val="2"/>
          </rPr>
          <t>Tomamos 4 canecos de chope (bia hoi)</t>
        </r>
      </text>
    </comment>
    <comment ref="P24" authorId="0">
      <text>
        <r>
          <rPr>
            <sz val="11"/>
            <color indexed="8"/>
            <rFont val="Arial"/>
            <family val="2"/>
          </rPr>
          <t>Visto da China</t>
        </r>
      </text>
    </comment>
    <comment ref="N25" authorId="0">
      <text>
        <r>
          <rPr>
            <sz val="11"/>
            <color indexed="8"/>
            <rFont val="Arial"/>
            <family val="2"/>
          </rPr>
          <t>Par de botas novas para o Renan</t>
        </r>
      </text>
    </comment>
    <comment ref="J26" authorId="0">
      <text>
        <r>
          <rPr>
            <sz val="11"/>
            <color indexed="8"/>
            <rFont val="Arial"/>
            <family val="2"/>
          </rPr>
          <t xml:space="preserve">Duas caixas de anticoncepcionais
</t>
        </r>
      </text>
    </comment>
    <comment ref="N26" authorId="0">
      <text>
        <r>
          <rPr>
            <sz val="11"/>
            <color indexed="8"/>
            <rFont val="Arial"/>
            <family val="2"/>
          </rPr>
          <t>Mochila e tênis novo para a Michele</t>
        </r>
      </text>
    </comment>
    <comment ref="B27" authorId="0">
      <text>
        <r>
          <rPr>
            <sz val="11"/>
            <color indexed="8"/>
            <rFont val="Arial"/>
            <family val="2"/>
          </rPr>
          <t>Ônibus internoem Hanói + ônibus para Ninh Binh</t>
        </r>
      </text>
    </comment>
  </commentList>
</comments>
</file>

<file path=xl/comments5.xml><?xml version="1.0" encoding="utf-8"?>
<comments xmlns="http://schemas.openxmlformats.org/spreadsheetml/2006/main">
  <authors>
    <author/>
  </authors>
  <commentList>
    <comment ref="B3" authorId="0">
      <text>
        <r>
          <rPr>
            <sz val="11"/>
            <color indexed="8"/>
            <rFont val="Arial"/>
            <family val="2"/>
          </rPr>
          <t>Aluguel de moto + gasolina</t>
        </r>
      </text>
    </comment>
    <comment ref="H3" authorId="0">
      <text>
        <r>
          <rPr>
            <sz val="11"/>
            <color indexed="8"/>
            <rFont val="Arial"/>
            <family val="2"/>
          </rPr>
          <t>Passeio de barco pelo rio</t>
        </r>
      </text>
    </comment>
    <comment ref="J3" authorId="0">
      <text>
        <r>
          <rPr>
            <sz val="11"/>
            <color indexed="8"/>
            <rFont val="Arial"/>
            <family val="2"/>
          </rPr>
          <t>-Estacionamentos para a moto</t>
        </r>
      </text>
    </comment>
    <comment ref="B4" authorId="0">
      <text>
        <r>
          <rPr>
            <sz val="11"/>
            <color indexed="8"/>
            <rFont val="Arial"/>
            <family val="2"/>
          </rPr>
          <t>Ônibus até Sapa</t>
        </r>
      </text>
    </comment>
    <comment ref="J6" authorId="0">
      <text>
        <r>
          <rPr>
            <sz val="11"/>
            <color indexed="8"/>
            <rFont val="Arial"/>
            <family val="2"/>
          </rPr>
          <t>Compramos duas pulseirinhas de uma senhora que vendia artesanatos</t>
        </r>
      </text>
    </comment>
    <comment ref="B7" authorId="0">
      <text>
        <r>
          <rPr>
            <sz val="11"/>
            <color indexed="8"/>
            <rFont val="Arial"/>
            <family val="2"/>
          </rPr>
          <t>Ônibus de Sa Pa até a fronteira com a China</t>
        </r>
      </text>
    </comment>
    <comment ref="J8" authorId="0">
      <text>
        <r>
          <rPr>
            <sz val="11"/>
            <color indexed="8"/>
            <rFont val="Arial"/>
            <family val="2"/>
          </rPr>
          <t>Compramos um SimCard (100)
Compramos um carregador de bateria externo para o tablet (150)</t>
        </r>
      </text>
    </comment>
    <comment ref="J10" authorId="0">
      <text>
        <r>
          <rPr>
            <sz val="11"/>
            <color indexed="8"/>
            <rFont val="Arial"/>
            <family val="2"/>
          </rPr>
          <t>5 pães</t>
        </r>
      </text>
    </comment>
    <comment ref="B11" authorId="0">
      <text>
        <r>
          <rPr>
            <sz val="11"/>
            <color indexed="8"/>
            <rFont val="Arial"/>
            <family val="2"/>
          </rPr>
          <t>Passagens de van para as terraças de arroz (voltamos a pé)</t>
        </r>
      </text>
    </comment>
    <comment ref="J11" authorId="0">
      <text>
        <r>
          <rPr>
            <sz val="11"/>
            <color indexed="8"/>
            <rFont val="Arial"/>
            <family val="2"/>
          </rPr>
          <t>10 pães</t>
        </r>
      </text>
    </comment>
    <comment ref="B12" authorId="0">
      <text>
        <r>
          <rPr>
            <sz val="11"/>
            <color indexed="8"/>
            <rFont val="Arial"/>
            <family val="2"/>
          </rPr>
          <t>Passagens de ônibus para Kunming (amanhã)</t>
        </r>
      </text>
    </comment>
    <comment ref="B13" authorId="0">
      <text>
        <r>
          <rPr>
            <sz val="11"/>
            <color indexed="8"/>
            <rFont val="Arial"/>
            <family val="2"/>
          </rPr>
          <t>Metrô em Kunming</t>
        </r>
      </text>
    </comment>
    <comment ref="B14" authorId="0">
      <text>
        <r>
          <rPr>
            <sz val="11"/>
            <color indexed="8"/>
            <rFont val="Arial"/>
            <family val="2"/>
          </rPr>
          <t>152 - Passagem de trem noturno para Lijiang (10h de viagem, cama). 
2 – passagem de ônibus dentro de Kunming</t>
        </r>
      </text>
    </comment>
    <comment ref="B16" authorId="0">
      <text>
        <r>
          <rPr>
            <sz val="11"/>
            <color indexed="8"/>
            <rFont val="Arial"/>
            <family val="2"/>
          </rPr>
          <t>Passagens de ônibus para a estação de trem (as passagens de trem já estavam compradas)</t>
        </r>
      </text>
    </comment>
    <comment ref="B17" authorId="0">
      <text>
        <r>
          <rPr>
            <sz val="11"/>
            <color indexed="8"/>
            <rFont val="Arial"/>
            <family val="2"/>
          </rPr>
          <t>Passagem de ônibus da estação de trem para o nosso hotel</t>
        </r>
      </text>
    </comment>
    <comment ref="B20" authorId="0">
      <text>
        <r>
          <rPr>
            <sz val="11"/>
            <color indexed="8"/>
            <rFont val="Arial"/>
            <family val="2"/>
          </rPr>
          <t>Passagens de ônibus para Shangri-Lá (4 horas de viagem)</t>
        </r>
      </text>
    </comment>
    <comment ref="J20" authorId="0">
      <text>
        <r>
          <rPr>
            <sz val="11"/>
            <color indexed="8"/>
            <rFont val="Arial"/>
            <family val="2"/>
          </rPr>
          <t>Créditos para o celular</t>
        </r>
      </text>
    </comment>
    <comment ref="B22" authorId="0">
      <text>
        <r>
          <rPr>
            <sz val="11"/>
            <color indexed="8"/>
            <rFont val="Arial"/>
            <family val="2"/>
          </rPr>
          <t>Passagens de ônibus para Xangcheng e passagem de ônibus interna</t>
        </r>
      </text>
    </comment>
    <comment ref="J22" authorId="0">
      <text>
        <r>
          <rPr>
            <sz val="11"/>
            <color indexed="8"/>
            <rFont val="Arial"/>
            <family val="2"/>
          </rPr>
          <t>Cabo USB</t>
        </r>
      </text>
    </comment>
    <comment ref="N23" authorId="0">
      <text>
        <r>
          <rPr>
            <sz val="11"/>
            <color indexed="8"/>
            <rFont val="Arial"/>
            <family val="2"/>
          </rPr>
          <t>Compramos luvas para a Michele, pois as dela se perderam</t>
        </r>
      </text>
    </comment>
    <comment ref="B24" authorId="0">
      <text>
        <r>
          <rPr>
            <sz val="11"/>
            <color indexed="8"/>
            <rFont val="Arial"/>
            <family val="2"/>
          </rPr>
          <t>Passagem de táxi compartilhado de Docheng até Litang (a passagem para Docheng já havíamos comprado)</t>
        </r>
      </text>
    </comment>
    <comment ref="L26" authorId="0">
      <text>
        <r>
          <rPr>
            <sz val="11"/>
            <color indexed="8"/>
            <rFont val="Arial"/>
            <family val="2"/>
          </rPr>
          <t>Pegamos uma carona. O pessoal que nos deu carona nos convidou para jantar com eles e ainda nos pagaram um hotel na cidade</t>
        </r>
      </text>
    </comment>
    <comment ref="B27" authorId="0">
      <text>
        <r>
          <rPr>
            <sz val="11"/>
            <color indexed="8"/>
            <rFont val="Arial"/>
            <family val="2"/>
          </rPr>
          <t>Passagem para Chengdu + ônibus internos</t>
        </r>
      </text>
    </comment>
    <comment ref="N28" authorId="0">
      <text>
        <r>
          <rPr>
            <sz val="11"/>
            <color indexed="8"/>
            <rFont val="Arial"/>
            <family val="2"/>
          </rPr>
          <t>Compramos um memory card novo para a Go Pro porque o antigo estragou com o frio que pegamos no Tibete</t>
        </r>
      </text>
    </comment>
    <comment ref="B29" authorId="0">
      <text>
        <r>
          <rPr>
            <sz val="11"/>
            <color indexed="8"/>
            <rFont val="Arial"/>
            <family val="2"/>
          </rPr>
          <t>Passagens de ônibus para ir e voltar dos pandas (foram precisos 2 ônibus por trecho)</t>
        </r>
      </text>
    </comment>
    <comment ref="H29" authorId="0">
      <text>
        <r>
          <rPr>
            <sz val="11"/>
            <color indexed="8"/>
            <rFont val="Arial"/>
            <family val="2"/>
          </rPr>
          <t>Entradas para a reserva dos pandas</t>
        </r>
      </text>
    </comment>
    <comment ref="B30" authorId="0">
      <text>
        <r>
          <rPr>
            <sz val="11"/>
            <color indexed="8"/>
            <rFont val="Arial"/>
            <family val="2"/>
          </rPr>
          <t>Passagens de metrô + trem para Emei (130km) + ônibus dentro de Emei</t>
        </r>
      </text>
    </comment>
    <comment ref="B31" authorId="0">
      <text>
        <r>
          <rPr>
            <sz val="11"/>
            <color indexed="8"/>
            <rFont val="Arial"/>
            <family val="2"/>
          </rPr>
          <t>Passagens de trem para Leshan (ida e volta) + ônibus dentro de Leshan</t>
        </r>
      </text>
    </comment>
    <comment ref="H31" authorId="0">
      <text>
        <r>
          <rPr>
            <sz val="11"/>
            <color indexed="8"/>
            <rFont val="Arial"/>
            <family val="2"/>
          </rPr>
          <t>Entradas para o Buda de Leshan + passeio de barco</t>
        </r>
      </text>
    </comment>
    <comment ref="B32" authorId="0">
      <text>
        <r>
          <rPr>
            <sz val="11"/>
            <color indexed="8"/>
            <rFont val="Arial"/>
            <family val="2"/>
          </rPr>
          <t>Passagens para Chengdu + passagens para Chongqing</t>
        </r>
      </text>
    </comment>
    <comment ref="B33" authorId="0">
      <text>
        <r>
          <rPr>
            <sz val="11"/>
            <color indexed="8"/>
            <rFont val="Arial"/>
            <family val="2"/>
          </rPr>
          <t>Passagens de ônibus em Emei + passagens de metrô em Cheng du (as passagens de trem já havíamos comprado ontem)</t>
        </r>
      </text>
    </comment>
  </commentList>
</comments>
</file>

<file path=xl/comments6.xml><?xml version="1.0" encoding="utf-8"?>
<comments xmlns="http://schemas.openxmlformats.org/spreadsheetml/2006/main">
  <authors>
    <author/>
  </authors>
  <commentList>
    <comment ref="B2" authorId="0">
      <text>
        <r>
          <rPr>
            <sz val="11"/>
            <color indexed="8"/>
            <rFont val="Arial"/>
            <family val="2"/>
          </rPr>
          <t xml:space="preserve">Metrô em Chengdu + ônibus em Chongqing
</t>
        </r>
      </text>
    </comment>
    <comment ref="B4" authorId="0">
      <text>
        <r>
          <rPr>
            <sz val="11"/>
            <color indexed="8"/>
            <rFont val="Arial"/>
            <family val="2"/>
          </rPr>
          <t xml:space="preserve">-Passagens de ônibus dentro da cidade + passagens de trem para Zhangjiajie </t>
        </r>
      </text>
    </comment>
    <comment ref="J5" authorId="0">
      <text>
        <r>
          <rPr>
            <sz val="11"/>
            <color indexed="8"/>
            <rFont val="Arial"/>
            <family val="2"/>
          </rPr>
          <t>Créditos para o celular</t>
        </r>
      </text>
    </comment>
    <comment ref="L5" authorId="0">
      <text>
        <r>
          <rPr>
            <sz val="11"/>
            <color indexed="8"/>
            <rFont val="Arial"/>
            <family val="2"/>
          </rPr>
          <t>Mudamos para outra casa do airbnb, pois precisamos ficar mais um dia e a que estávamos foi ocupada</t>
        </r>
      </text>
    </comment>
    <comment ref="H9" authorId="0">
      <text>
        <r>
          <rPr>
            <sz val="11"/>
            <color indexed="8"/>
            <rFont val="Arial"/>
            <family val="2"/>
          </rPr>
          <t>Entradas para o parque do Avatar</t>
        </r>
      </text>
    </comment>
    <comment ref="B14" authorId="0">
      <text>
        <r>
          <rPr>
            <sz val="11"/>
            <color indexed="8"/>
            <rFont val="Arial"/>
            <family val="2"/>
          </rPr>
          <t>Passagens de trem para Jishou (3 horas de viagem)</t>
        </r>
      </text>
    </comment>
    <comment ref="B15" authorId="0">
      <text>
        <r>
          <rPr>
            <sz val="11"/>
            <color indexed="8"/>
            <rFont val="Arial"/>
            <family val="2"/>
          </rPr>
          <t>Ônibus para Fenghuang</t>
        </r>
      </text>
    </comment>
    <comment ref="B17" authorId="0">
      <text>
        <r>
          <rPr>
            <sz val="11"/>
            <color indexed="8"/>
            <rFont val="Arial"/>
            <family val="2"/>
          </rPr>
          <t>Passagens de ônibus para Guilin e passagens para a muralha da China</t>
        </r>
      </text>
    </comment>
    <comment ref="H17" authorId="0">
      <text>
        <r>
          <rPr>
            <sz val="11"/>
            <color indexed="8"/>
            <rFont val="Arial"/>
            <family val="2"/>
          </rPr>
          <t>Entradas para a Muralha da China (do sul)</t>
        </r>
      </text>
    </comment>
    <comment ref="B22" authorId="0">
      <text>
        <r>
          <rPr>
            <sz val="11"/>
            <color indexed="8"/>
            <rFont val="Arial"/>
            <family val="2"/>
          </rPr>
          <t>Passagens de trem para a fronteira com Hong Kong (13h, trem cama)</t>
        </r>
      </text>
    </comment>
    <comment ref="B24" authorId="0">
      <text>
        <r>
          <rPr>
            <sz val="11"/>
            <color indexed="8"/>
            <rFont val="Arial"/>
            <family val="2"/>
          </rPr>
          <t>Metrô da fronteira para o centro de Hong Kong</t>
        </r>
      </text>
    </comment>
    <comment ref="D24" authorId="0">
      <text>
        <r>
          <rPr>
            <sz val="11"/>
            <color indexed="8"/>
            <rFont val="Arial"/>
            <family val="2"/>
          </rPr>
          <t>Dois almoços para esquentar em casa</t>
        </r>
      </text>
    </comment>
    <comment ref="L24" authorId="0">
      <text>
        <r>
          <rPr>
            <sz val="11"/>
            <color indexed="8"/>
            <rFont val="Arial"/>
            <family val="2"/>
          </rPr>
          <t>14 dólares. Arrumar</t>
        </r>
      </text>
    </comment>
    <comment ref="B26" authorId="0">
      <text>
        <r>
          <rPr>
            <sz val="11"/>
            <color indexed="8"/>
            <rFont val="Arial"/>
            <family val="2"/>
          </rPr>
          <t>Metrô + trem bala para Xiamen</t>
        </r>
      </text>
    </comment>
    <comment ref="L26" authorId="0">
      <text>
        <r>
          <rPr>
            <sz val="11"/>
            <color indexed="8"/>
            <rFont val="Arial"/>
            <family val="2"/>
          </rPr>
          <t xml:space="preserve">Duas camas em Hostel
</t>
        </r>
      </text>
    </comment>
    <comment ref="B29" authorId="0">
      <text>
        <r>
          <rPr>
            <sz val="11"/>
            <color indexed="8"/>
            <rFont val="Arial"/>
            <family val="2"/>
          </rPr>
          <t>Passagens de trem para Yiwu</t>
        </r>
      </text>
    </comment>
    <comment ref="B31" authorId="0">
      <text>
        <r>
          <rPr>
            <sz val="11"/>
            <color indexed="8"/>
            <rFont val="Arial"/>
            <family val="2"/>
          </rPr>
          <t>27 – táxi até o nosso airbnb, pois chegamos muito tarde (era para dar 15, mas o taxista fez pilantragem). 
2 – ônibus até o terminal de trem
23,5 – Passagem de Yiwu para Hangzhou (compramos adiantado para o dia 2)</t>
        </r>
      </text>
    </comment>
  </commentList>
</comments>
</file>

<file path=xl/comments7.xml><?xml version="1.0" encoding="utf-8"?>
<comments xmlns="http://schemas.openxmlformats.org/spreadsheetml/2006/main">
  <authors>
    <author/>
  </authors>
  <commentList>
    <comment ref="B2" authorId="0">
      <text>
        <r>
          <rPr>
            <sz val="11"/>
            <color indexed="8"/>
            <rFont val="Arial"/>
            <family val="2"/>
          </rPr>
          <t xml:space="preserve">Metrô em Chengdu + ônibus em Chongqing
</t>
        </r>
      </text>
    </comment>
    <comment ref="B3" authorId="0">
      <text>
        <r>
          <rPr>
            <sz val="11"/>
            <color indexed="8"/>
            <rFont val="Arial"/>
            <family val="2"/>
          </rPr>
          <t>Passagem de metrô em Hangzhou + passagens de ônibus</t>
        </r>
      </text>
    </comment>
    <comment ref="B7" authorId="0">
      <text>
        <r>
          <rPr>
            <sz val="11"/>
            <color indexed="8"/>
            <rFont val="Arial"/>
            <family val="2"/>
          </rPr>
          <t xml:space="preserve">Ônibus e metrôs
</t>
        </r>
      </text>
    </comment>
  </commentList>
</comments>
</file>

<file path=xl/sharedStrings.xml><?xml version="1.0" encoding="utf-8"?>
<sst xmlns="http://schemas.openxmlformats.org/spreadsheetml/2006/main" count="790" uniqueCount="239">
  <si>
    <t>Data</t>
  </si>
  <si>
    <t>Valor</t>
  </si>
  <si>
    <t>País</t>
  </si>
  <si>
    <t>Câmbio</t>
  </si>
  <si>
    <t>Valor em Reais</t>
  </si>
  <si>
    <t>Tipo</t>
  </si>
  <si>
    <t>Comissão pela venda de passeios (Moving)</t>
  </si>
  <si>
    <t>Argentina</t>
  </si>
  <si>
    <t>2016-15</t>
  </si>
  <si>
    <t>Total</t>
  </si>
  <si>
    <t>Gorjetas (Moving)</t>
  </si>
  <si>
    <t>Livro</t>
  </si>
  <si>
    <t>Fotos</t>
  </si>
  <si>
    <t>Vendendo garrafa vazia deixada por um hospede</t>
  </si>
  <si>
    <t>Blog</t>
  </si>
  <si>
    <t>Gorjeta dos Chineses (Moving)</t>
  </si>
  <si>
    <t>AirBnb</t>
  </si>
  <si>
    <t>Lvanderia (Moving)</t>
  </si>
  <si>
    <t>Doação</t>
  </si>
  <si>
    <t>Outros</t>
  </si>
  <si>
    <t>Presente de Gisela (Rio Grande): 100 dólares!</t>
  </si>
  <si>
    <t>Booking</t>
  </si>
  <si>
    <t>Encontramos 10 soles na rua</t>
  </si>
  <si>
    <t>Peru</t>
  </si>
  <si>
    <t>Encontramos 1 sol na rua</t>
  </si>
  <si>
    <t>Pagamento pela venda de fotos na web</t>
  </si>
  <si>
    <t>Pagamento Google Adsense (Blog)</t>
  </si>
  <si>
    <t>Achamos 20 dólares na rua!</t>
  </si>
  <si>
    <t>Costa Rica</t>
  </si>
  <si>
    <t>Pagamento venda fotos na web</t>
  </si>
  <si>
    <t>Créditos para o Airbnb (usuários convidados)</t>
  </si>
  <si>
    <t>Doação no nosso site</t>
  </si>
  <si>
    <t>Venda de um livro pelo PayPal</t>
  </si>
  <si>
    <t>2 livros vendidos pelo PayPal</t>
  </si>
  <si>
    <t>Venda de um livro + doação no site</t>
  </si>
  <si>
    <t>Venda de um livro em PDF</t>
  </si>
  <si>
    <t>Venda livro PayPal</t>
  </si>
  <si>
    <t>Encontramos 50 pesos na praia</t>
  </si>
  <si>
    <t>México</t>
  </si>
  <si>
    <t>Encontramos na rua</t>
  </si>
  <si>
    <t>Filipinas</t>
  </si>
  <si>
    <t>Venda livro Mucuvinha</t>
  </si>
  <si>
    <t>Pagamento Amazon (venda livro)</t>
  </si>
  <si>
    <t>Pagamento google Adsense (Blog)</t>
  </si>
  <si>
    <t>Créditos Hoteis.com por reserva errada</t>
  </si>
  <si>
    <t>Créditos Hoteis.com</t>
  </si>
  <si>
    <t>créditos Hoteis.com</t>
  </si>
  <si>
    <t>Pagamento Booking</t>
  </si>
  <si>
    <t>Empresa de ônibus</t>
  </si>
  <si>
    <t>Pagamento venda fotos na web (Dreamstime)</t>
  </si>
  <si>
    <t>Créditos que nos deram no Agoda por um erro em uma reserva</t>
  </si>
  <si>
    <t>Pagamento blog (pelo TheMoneytizer, em Euros)</t>
  </si>
  <si>
    <t>AirBnb (créditos porque o host cancelou nossa reserva)</t>
  </si>
  <si>
    <t>Mês</t>
  </si>
  <si>
    <t>Dias</t>
  </si>
  <si>
    <t>Total em Reais</t>
  </si>
  <si>
    <t>Média</t>
  </si>
  <si>
    <t>Hospedagem</t>
  </si>
  <si>
    <t>Supermercado</t>
  </si>
  <si>
    <t>Transporte</t>
  </si>
  <si>
    <t>Passeios</t>
  </si>
  <si>
    <t>Restaurantes</t>
  </si>
  <si>
    <t>Vistos</t>
  </si>
  <si>
    <t>Reposição</t>
  </si>
  <si>
    <t>CS</t>
  </si>
  <si>
    <t>Camping</t>
  </si>
  <si>
    <t>Camping selvagem</t>
  </si>
  <si>
    <t>Amigos</t>
  </si>
  <si>
    <t>Hospedagem (hotel/hostel)</t>
  </si>
  <si>
    <t>Noites Rodoviaria</t>
  </si>
  <si>
    <t>Noites bus/barco/avião</t>
  </si>
  <si>
    <t>Trabalhando</t>
  </si>
  <si>
    <t>Hospedagens pagas</t>
  </si>
  <si>
    <t>Hospedagens gratuitas</t>
  </si>
  <si>
    <t>Caronas</t>
  </si>
  <si>
    <t>Set-Out</t>
  </si>
  <si>
    <t>Nov</t>
  </si>
  <si>
    <t>Dez</t>
  </si>
  <si>
    <t>Jan</t>
  </si>
  <si>
    <t>Fev</t>
  </si>
  <si>
    <t>Mar</t>
  </si>
  <si>
    <t>Abril</t>
  </si>
  <si>
    <t>Maio</t>
  </si>
  <si>
    <t>Jun</t>
  </si>
  <si>
    <t>Jul</t>
  </si>
  <si>
    <t>Ago</t>
  </si>
  <si>
    <t>Set</t>
  </si>
  <si>
    <t>Out</t>
  </si>
  <si>
    <t>Jan/17</t>
  </si>
  <si>
    <t>Fev/17</t>
  </si>
  <si>
    <t>Mar/17</t>
  </si>
  <si>
    <t>Abril/17</t>
  </si>
  <si>
    <t>Maio/17</t>
  </si>
  <si>
    <t>Jun/17</t>
  </si>
  <si>
    <t>Jul/17</t>
  </si>
  <si>
    <t>Ago/17</t>
  </si>
  <si>
    <t>Set/17</t>
  </si>
  <si>
    <t>Out/17</t>
  </si>
  <si>
    <t>Nov/17</t>
  </si>
  <si>
    <t>Dez/17</t>
  </si>
  <si>
    <t>Jan/18</t>
  </si>
  <si>
    <t>Fev/18</t>
  </si>
  <si>
    <t>Mar/18</t>
  </si>
  <si>
    <t>Abr/18</t>
  </si>
  <si>
    <t>Maio/18</t>
  </si>
  <si>
    <t>Jun/18</t>
  </si>
  <si>
    <t>Jul/18</t>
  </si>
  <si>
    <t>Ago/18</t>
  </si>
  <si>
    <t>Set/18</t>
  </si>
  <si>
    <t>Out/18</t>
  </si>
  <si>
    <t>Nov/18</t>
  </si>
  <si>
    <t>Dez/18</t>
  </si>
  <si>
    <t>Jan/19</t>
  </si>
  <si>
    <t>Fev/19</t>
  </si>
  <si>
    <t>Mar/19</t>
  </si>
  <si>
    <t>Abr/19</t>
  </si>
  <si>
    <t>Total da Viajona</t>
  </si>
  <si>
    <t>média dia</t>
  </si>
  <si>
    <t>média mensal</t>
  </si>
  <si>
    <t>dia</t>
  </si>
  <si>
    <t>transporte</t>
  </si>
  <si>
    <t>transp r$</t>
  </si>
  <si>
    <t>supermercado</t>
  </si>
  <si>
    <t>super r$</t>
  </si>
  <si>
    <t>restaurante</t>
  </si>
  <si>
    <t>restaur r$</t>
  </si>
  <si>
    <t>passeios</t>
  </si>
  <si>
    <t>passeios r$</t>
  </si>
  <si>
    <t>outros</t>
  </si>
  <si>
    <t>outros r$</t>
  </si>
  <si>
    <t>hospedagem</t>
  </si>
  <si>
    <t>hospedagem r$</t>
  </si>
  <si>
    <t>Reposição (R$)</t>
  </si>
  <si>
    <t>Vistos (R$)</t>
  </si>
  <si>
    <t>camping</t>
  </si>
  <si>
    <t>camping selvagem</t>
  </si>
  <si>
    <t>hotel</t>
  </si>
  <si>
    <t>trabalhando</t>
  </si>
  <si>
    <t>amigos</t>
  </si>
  <si>
    <t>cs</t>
  </si>
  <si>
    <t>rodoviaria</t>
  </si>
  <si>
    <t>airbnb</t>
  </si>
  <si>
    <t>Onibus/barco</t>
  </si>
  <si>
    <t>Carona</t>
  </si>
  <si>
    <t>total (moeda local)</t>
  </si>
  <si>
    <t>cambio</t>
  </si>
  <si>
    <t>total r$</t>
  </si>
  <si>
    <t>N País</t>
  </si>
  <si>
    <t>x</t>
  </si>
  <si>
    <t>Hoi An</t>
  </si>
  <si>
    <t>total (R$)</t>
  </si>
  <si>
    <t>media</t>
  </si>
  <si>
    <t>total hospedagens gratuitas</t>
  </si>
  <si>
    <t>total Filipinas</t>
  </si>
  <si>
    <t>total Malásia</t>
  </si>
  <si>
    <t>Hoi An – Da Nang</t>
  </si>
  <si>
    <t>total hospedagens pagas</t>
  </si>
  <si>
    <t>dias Filipinas</t>
  </si>
  <si>
    <t>dias Malásia</t>
  </si>
  <si>
    <t>Da Nang</t>
  </si>
  <si>
    <t>total hospegagem CS</t>
  </si>
  <si>
    <t>media Filipinas</t>
  </si>
  <si>
    <t>media Malásia</t>
  </si>
  <si>
    <t>total de dias</t>
  </si>
  <si>
    <t>total camping</t>
  </si>
  <si>
    <t>total hotel/hostel</t>
  </si>
  <si>
    <t>médias</t>
  </si>
  <si>
    <t>Da Nang – Ho Chi Minh</t>
  </si>
  <si>
    <t>total hospedagem</t>
  </si>
  <si>
    <t>total camping selvagem</t>
  </si>
  <si>
    <t>Ho Chi Minh</t>
  </si>
  <si>
    <t>total transporte</t>
  </si>
  <si>
    <t>total supermercado</t>
  </si>
  <si>
    <t>total restaurante</t>
  </si>
  <si>
    <t xml:space="preserve"> restaurante</t>
  </si>
  <si>
    <t>onibus</t>
  </si>
  <si>
    <t>total outros</t>
  </si>
  <si>
    <t>total passeios</t>
  </si>
  <si>
    <t>total reposição</t>
  </si>
  <si>
    <t>total vistos</t>
  </si>
  <si>
    <t xml:space="preserve">Ho Chi Minh – Can Tho </t>
  </si>
  <si>
    <t>Can Tho</t>
  </si>
  <si>
    <t>caronas</t>
  </si>
  <si>
    <t>Chau Doc</t>
  </si>
  <si>
    <t>Chau Doc – Ho Chi Minh</t>
  </si>
  <si>
    <t>Ho Chi Minh – Vung Tau</t>
  </si>
  <si>
    <t>Vung Tau</t>
  </si>
  <si>
    <t>Vung Tau – Mui Ne</t>
  </si>
  <si>
    <t>Mui Ne</t>
  </si>
  <si>
    <t>Mui Ne – Da Lat</t>
  </si>
  <si>
    <t>Da Lat</t>
  </si>
  <si>
    <t>Da Lat – Nha Trang</t>
  </si>
  <si>
    <t>Nha Trang</t>
  </si>
  <si>
    <t>Nha Trang – Quang Ngai</t>
  </si>
  <si>
    <t>Quang Ngai</t>
  </si>
  <si>
    <t>Da Nang – Hanói</t>
  </si>
  <si>
    <t>Hanoi</t>
  </si>
  <si>
    <t>Hanoi – Ninh Binh</t>
  </si>
  <si>
    <t>Ninh Binh</t>
  </si>
  <si>
    <t>Ninh Binh – Sa Pa</t>
  </si>
  <si>
    <t>Sa Pa</t>
  </si>
  <si>
    <t>Sa Pa – Hekou (China)</t>
  </si>
  <si>
    <t>Hekou – Xinjie</t>
  </si>
  <si>
    <t>Xinjie</t>
  </si>
  <si>
    <t>Xinjie – Kunming</t>
  </si>
  <si>
    <t>Kunming</t>
  </si>
  <si>
    <t>kunming</t>
  </si>
  <si>
    <t>Kunming – Lijiang</t>
  </si>
  <si>
    <t>Lijiang</t>
  </si>
  <si>
    <t>Lijiang – Shangri-Lá</t>
  </si>
  <si>
    <t>Shangri-Lá</t>
  </si>
  <si>
    <t>Shangri-Lá – Litang</t>
  </si>
  <si>
    <t>Litang</t>
  </si>
  <si>
    <t>Litang – Shimian</t>
  </si>
  <si>
    <t>Shimian – Chengdu</t>
  </si>
  <si>
    <t>Chengdu</t>
  </si>
  <si>
    <t>Chengdu – Emei</t>
  </si>
  <si>
    <t>Emei (bate-volta para Leshan)</t>
  </si>
  <si>
    <t>Emei</t>
  </si>
  <si>
    <t>Emei – Chengdu</t>
  </si>
  <si>
    <t>Chengdu – Chongqing</t>
  </si>
  <si>
    <t>Chongqing</t>
  </si>
  <si>
    <t>Chongqing – Zhangjiajie</t>
  </si>
  <si>
    <t>Zhangjiajie</t>
  </si>
  <si>
    <t>Zhangjiajie (vila de Tianzi)</t>
  </si>
  <si>
    <t>Zhangjiajie – Fenghuang</t>
  </si>
  <si>
    <t>Fenghuang</t>
  </si>
  <si>
    <t>Fenghuang – Guilin</t>
  </si>
  <si>
    <t>Guilin</t>
  </si>
  <si>
    <t>Guilin – Shenzhen</t>
  </si>
  <si>
    <t>Shenzhen – Hong Kong</t>
  </si>
  <si>
    <t>Hong Kong – Shenzhen</t>
  </si>
  <si>
    <t>Shenzhen – Xiamen</t>
  </si>
  <si>
    <t>Xiamen</t>
  </si>
  <si>
    <t>Xiamen – Yiwu</t>
  </si>
  <si>
    <t>Yiwu</t>
  </si>
  <si>
    <t>Yiwu – Hangzhou</t>
  </si>
  <si>
    <t>Hangzhou</t>
  </si>
  <si>
    <t>Hangzhou – Shanghai</t>
  </si>
</sst>
</file>

<file path=xl/styles.xml><?xml version="1.0" encoding="utf-8"?>
<styleSheet xmlns="http://schemas.openxmlformats.org/spreadsheetml/2006/main">
  <numFmts count="7">
    <numFmt numFmtId="164" formatCode="GENERAL"/>
    <numFmt numFmtId="165" formatCode="DD/MM/YY"/>
    <numFmt numFmtId="166" formatCode="[$R$-416]\ #,##0.00;[RED]\-[$R$-416]\ #,##0.00"/>
    <numFmt numFmtId="167" formatCode="[$R$-416]\ #,##0.00;[RED]\-[$R$-416]\ #,##0.00"/>
    <numFmt numFmtId="168" formatCode="0.00"/>
    <numFmt numFmtId="169" formatCode="[$R$-416]\ #,##0.00;\-[$R$-416]\ #,##0.00"/>
    <numFmt numFmtId="170" formatCode="D/M/YY"/>
  </numFmts>
  <fonts count="4">
    <font>
      <sz val="11"/>
      <color indexed="8"/>
      <name val="Arial"/>
      <family val="2"/>
    </font>
    <font>
      <sz val="10"/>
      <name val="Arial"/>
      <family val="0"/>
    </font>
    <font>
      <sz val="10"/>
      <color indexed="8"/>
      <name val="Arial"/>
      <family val="2"/>
    </font>
    <font>
      <b/>
      <sz val="8"/>
      <name val="Arial"/>
      <family val="2"/>
    </font>
  </fonts>
  <fills count="13">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6">
    <xf numFmtId="164" fontId="0" fillId="0" borderId="0" xfId="0" applyAlignment="1">
      <alignment/>
    </xf>
    <xf numFmtId="164" fontId="0" fillId="0" borderId="0" xfId="0" applyNumberForma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164" fontId="0" fillId="0" borderId="0" xfId="0" applyAlignment="1">
      <alignment horizontal="center"/>
    </xf>
    <xf numFmtId="164" fontId="0" fillId="2" borderId="0" xfId="0" applyNumberFormat="1" applyFont="1" applyFill="1" applyAlignment="1">
      <alignment horizontal="center"/>
    </xf>
    <xf numFmtId="166" fontId="0" fillId="2" borderId="0" xfId="0" applyNumberFormat="1" applyFill="1" applyAlignment="1">
      <alignment horizontal="center"/>
    </xf>
    <xf numFmtId="164" fontId="0" fillId="3" borderId="0" xfId="0" applyNumberFormat="1" applyFont="1" applyFill="1" applyAlignment="1">
      <alignment horizontal="center"/>
    </xf>
    <xf numFmtId="166" fontId="0" fillId="3" borderId="0" xfId="0" applyNumberFormat="1" applyFill="1" applyAlignment="1">
      <alignment horizontal="center"/>
    </xf>
    <xf numFmtId="164" fontId="0" fillId="4" borderId="0" xfId="0" applyNumberFormat="1" applyFont="1" applyFill="1" applyAlignment="1">
      <alignment horizontal="center"/>
    </xf>
    <xf numFmtId="166" fontId="0" fillId="4" borderId="0" xfId="0" applyNumberFormat="1" applyFill="1" applyAlignment="1">
      <alignment horizontal="center"/>
    </xf>
    <xf numFmtId="164" fontId="0" fillId="5" borderId="0" xfId="0" applyNumberFormat="1" applyFont="1" applyFill="1" applyAlignment="1">
      <alignment horizontal="center"/>
    </xf>
    <xf numFmtId="166" fontId="0" fillId="5" borderId="0" xfId="0" applyNumberFormat="1" applyFill="1" applyAlignment="1">
      <alignment horizontal="center"/>
    </xf>
    <xf numFmtId="164" fontId="0" fillId="6" borderId="0" xfId="0" applyNumberFormat="1" applyFont="1" applyFill="1" applyAlignment="1">
      <alignment horizontal="center"/>
    </xf>
    <xf numFmtId="166" fontId="0" fillId="6" borderId="0" xfId="0" applyNumberFormat="1" applyFill="1" applyAlignment="1">
      <alignment horizontal="center"/>
    </xf>
    <xf numFmtId="166" fontId="0" fillId="7" borderId="0" xfId="0" applyNumberFormat="1" applyFill="1" applyAlignment="1">
      <alignment horizontal="center"/>
    </xf>
    <xf numFmtId="165" fontId="0" fillId="6" borderId="0" xfId="0" applyNumberFormat="1" applyFill="1" applyAlignment="1">
      <alignment horizontal="center"/>
    </xf>
    <xf numFmtId="166" fontId="0" fillId="6" borderId="0" xfId="0" applyNumberFormat="1" applyFill="1" applyAlignment="1">
      <alignment horizontal="center"/>
    </xf>
    <xf numFmtId="164" fontId="0" fillId="6" borderId="0" xfId="0" applyFill="1" applyAlignment="1">
      <alignment horizontal="center"/>
    </xf>
    <xf numFmtId="164" fontId="0" fillId="8" borderId="0" xfId="0" applyNumberFormat="1" applyFont="1" applyFill="1" applyAlignment="1">
      <alignment horizontal="center"/>
    </xf>
    <xf numFmtId="166" fontId="0" fillId="8" borderId="0" xfId="0" applyNumberFormat="1" applyFill="1" applyAlignment="1">
      <alignment horizontal="center"/>
    </xf>
    <xf numFmtId="165" fontId="0" fillId="3" borderId="0" xfId="0" applyNumberFormat="1" applyFill="1" applyAlignment="1">
      <alignment horizontal="center"/>
    </xf>
    <xf numFmtId="166" fontId="0" fillId="3" borderId="0" xfId="0" applyNumberFormat="1" applyFill="1" applyAlignment="1">
      <alignment horizontal="center"/>
    </xf>
    <xf numFmtId="164" fontId="0" fillId="3" borderId="0" xfId="0" applyFill="1" applyAlignment="1">
      <alignment horizontal="center"/>
    </xf>
    <xf numFmtId="166" fontId="0" fillId="0" borderId="0" xfId="0" applyNumberFormat="1" applyAlignment="1">
      <alignment horizontal="center"/>
    </xf>
    <xf numFmtId="165" fontId="0" fillId="4" borderId="0" xfId="0" applyNumberFormat="1" applyFill="1" applyAlignment="1">
      <alignment horizontal="center"/>
    </xf>
    <xf numFmtId="166" fontId="0" fillId="4" borderId="0" xfId="0" applyNumberFormat="1" applyFill="1" applyAlignment="1">
      <alignment horizontal="center"/>
    </xf>
    <xf numFmtId="164" fontId="0" fillId="4" borderId="0" xfId="0" applyFill="1" applyAlignment="1">
      <alignment horizontal="center"/>
    </xf>
    <xf numFmtId="165" fontId="0" fillId="5" borderId="0" xfId="0" applyNumberFormat="1" applyFill="1" applyAlignment="1">
      <alignment horizontal="center"/>
    </xf>
    <xf numFmtId="166" fontId="0" fillId="5" borderId="0" xfId="0" applyNumberFormat="1" applyFill="1" applyAlignment="1">
      <alignment horizontal="center"/>
    </xf>
    <xf numFmtId="164" fontId="0" fillId="5" borderId="0" xfId="0" applyFill="1" applyAlignment="1">
      <alignment horizontal="center"/>
    </xf>
    <xf numFmtId="165" fontId="0" fillId="2" borderId="0" xfId="0" applyNumberFormat="1" applyFill="1" applyAlignment="1">
      <alignment horizontal="center"/>
    </xf>
    <xf numFmtId="166" fontId="0" fillId="2" borderId="0" xfId="0" applyNumberFormat="1" applyFill="1" applyAlignment="1">
      <alignment horizontal="center"/>
    </xf>
    <xf numFmtId="164" fontId="0" fillId="2" borderId="0" xfId="0" applyFill="1" applyAlignment="1">
      <alignment horizontal="center"/>
    </xf>
    <xf numFmtId="164" fontId="0" fillId="0" borderId="0" xfId="0" applyNumberFormat="1" applyFill="1" applyAlignment="1">
      <alignment horizontal="center"/>
    </xf>
    <xf numFmtId="166" fontId="0" fillId="7" borderId="0" xfId="0" applyNumberFormat="1" applyFill="1" applyAlignment="1">
      <alignment horizontal="center"/>
    </xf>
    <xf numFmtId="166" fontId="0" fillId="0" borderId="0" xfId="0" applyNumberFormat="1" applyFill="1" applyAlignment="1">
      <alignment horizontal="center"/>
    </xf>
    <xf numFmtId="165" fontId="0" fillId="8" borderId="0" xfId="0" applyNumberFormat="1" applyFill="1" applyAlignment="1">
      <alignment horizontal="center"/>
    </xf>
    <xf numFmtId="166" fontId="0" fillId="8" borderId="0" xfId="0" applyNumberFormat="1" applyFill="1" applyAlignment="1">
      <alignment horizontal="center"/>
    </xf>
    <xf numFmtId="164" fontId="0" fillId="8" borderId="0" xfId="0" applyFill="1" applyAlignment="1">
      <alignment horizontal="center"/>
    </xf>
    <xf numFmtId="168" fontId="0" fillId="0" borderId="0" xfId="0" applyNumberFormat="1" applyFill="1" applyAlignment="1">
      <alignment horizontal="left"/>
    </xf>
    <xf numFmtId="164" fontId="0" fillId="0" borderId="0" xfId="0" applyNumberFormat="1" applyAlignment="1">
      <alignment/>
    </xf>
    <xf numFmtId="164" fontId="0" fillId="9" borderId="0" xfId="0" applyNumberFormat="1" applyFill="1" applyAlignment="1">
      <alignment/>
    </xf>
    <xf numFmtId="164" fontId="0" fillId="9" borderId="0" xfId="0" applyNumberFormat="1" applyFill="1" applyAlignment="1">
      <alignment horizontal="center"/>
    </xf>
    <xf numFmtId="164" fontId="0" fillId="10" borderId="0" xfId="0" applyNumberFormat="1" applyFill="1" applyAlignment="1">
      <alignment/>
    </xf>
    <xf numFmtId="164" fontId="0" fillId="11" borderId="0" xfId="0" applyNumberFormat="1" applyFill="1" applyAlignment="1">
      <alignment/>
    </xf>
    <xf numFmtId="164" fontId="0" fillId="12" borderId="0" xfId="0" applyNumberFormat="1" applyFill="1" applyAlignment="1">
      <alignment/>
    </xf>
    <xf numFmtId="164" fontId="0" fillId="0" borderId="0" xfId="0" applyNumberFormat="1" applyAlignment="1">
      <alignment horizontal="center" vertical="center"/>
    </xf>
    <xf numFmtId="164" fontId="0" fillId="9" borderId="0" xfId="0" applyNumberFormat="1" applyFont="1" applyFill="1" applyAlignment="1">
      <alignment horizontal="center" vertical="center" wrapText="1" shrinkToFit="1"/>
    </xf>
    <xf numFmtId="164" fontId="0" fillId="10" borderId="0" xfId="0" applyNumberFormat="1" applyFont="1" applyFill="1" applyAlignment="1">
      <alignment horizontal="center" vertical="center" wrapText="1" shrinkToFit="1"/>
    </xf>
    <xf numFmtId="164" fontId="0" fillId="11" borderId="0" xfId="0" applyNumberFormat="1" applyFill="1" applyAlignment="1">
      <alignment horizontal="center" vertical="center" wrapText="1" shrinkToFit="1"/>
    </xf>
    <xf numFmtId="164" fontId="0" fillId="12" borderId="0" xfId="0" applyNumberFormat="1" applyFont="1" applyFill="1" applyAlignment="1">
      <alignment horizontal="center" vertical="center" wrapText="1" shrinkToFit="1"/>
    </xf>
    <xf numFmtId="164" fontId="0" fillId="6" borderId="0" xfId="0" applyNumberFormat="1" applyFont="1" applyFill="1" applyAlignment="1">
      <alignment horizontal="center" vertical="center"/>
    </xf>
    <xf numFmtId="164" fontId="0" fillId="0" borderId="0" xfId="0" applyNumberFormat="1" applyFill="1" applyAlignment="1">
      <alignment horizontal="center" vertical="center"/>
    </xf>
    <xf numFmtId="166" fontId="0" fillId="10" borderId="0" xfId="0" applyNumberFormat="1" applyFill="1" applyAlignment="1">
      <alignment horizontal="center"/>
    </xf>
    <xf numFmtId="169" fontId="0" fillId="10" borderId="0" xfId="0" applyNumberFormat="1" applyFill="1" applyAlignment="1">
      <alignment horizontal="center"/>
    </xf>
    <xf numFmtId="164" fontId="0" fillId="11" borderId="0" xfId="0" applyNumberFormat="1" applyFill="1" applyAlignment="1">
      <alignment horizontal="center"/>
    </xf>
    <xf numFmtId="164" fontId="0" fillId="12" borderId="0" xfId="0" applyNumberFormat="1" applyFill="1" applyAlignment="1">
      <alignment horizontal="center"/>
    </xf>
    <xf numFmtId="164" fontId="0" fillId="9" borderId="0" xfId="0" applyNumberFormat="1" applyFont="1" applyFill="1" applyAlignment="1">
      <alignment horizontal="center"/>
    </xf>
    <xf numFmtId="165" fontId="0" fillId="0" borderId="0" xfId="0" applyNumberFormat="1" applyFont="1" applyFill="1" applyAlignment="1">
      <alignment horizontal="center"/>
    </xf>
    <xf numFmtId="168" fontId="0" fillId="0" borderId="0" xfId="0" applyNumberFormat="1" applyFont="1" applyFill="1" applyAlignment="1">
      <alignment horizontal="center"/>
    </xf>
    <xf numFmtId="170" fontId="0" fillId="0" borderId="0" xfId="0" applyNumberFormat="1" applyFill="1" applyAlignment="1">
      <alignment horizontal="center"/>
    </xf>
    <xf numFmtId="168" fontId="0" fillId="0" borderId="0" xfId="0" applyNumberFormat="1" applyFill="1" applyAlignment="1">
      <alignment horizontal="center"/>
    </xf>
    <xf numFmtId="169" fontId="0" fillId="0" borderId="0" xfId="0" applyNumberFormat="1" applyFill="1" applyAlignment="1">
      <alignment horizontal="center"/>
    </xf>
    <xf numFmtId="164" fontId="0" fillId="0" borderId="0" xfId="0" applyNumberFormat="1" applyFill="1" applyAlignment="1">
      <alignment horizontal="left"/>
    </xf>
    <xf numFmtId="164" fontId="0" fillId="0"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C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99"/>
      <rgbColor rgb="00660066"/>
      <rgbColor rgb="00FF8080"/>
      <rgbColor rgb="000066CC"/>
      <rgbColor rgb="00FF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99"/>
      <rgbColor rgb="00CC99FF"/>
      <rgbColor rgb="00FFCC99"/>
      <rgbColor rgb="003366FF"/>
      <rgbColor rgb="0033CCCC"/>
      <rgbColor rgb="0099CC00"/>
      <rgbColor rgb="00FFCC00"/>
      <rgbColor rgb="00CC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Geral!$F$1:$M$1</c:f>
              <c:strCache/>
            </c:strRef>
          </c:cat>
          <c:val>
            <c:numRef>
              <c:f>Geral!$F$49:$M$49</c:f>
              <c:numCache/>
            </c:numRef>
          </c:val>
        </c:ser>
        <c:gapWidth val="100"/>
        <c:axId val="56529821"/>
        <c:axId val="39006342"/>
      </c:barChart>
      <c:dateAx>
        <c:axId val="5652982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39006342"/>
        <c:crossesAt val="0"/>
        <c:auto val="0"/>
        <c:noMultiLvlLbl val="0"/>
      </c:dateAx>
      <c:valAx>
        <c:axId val="39006342"/>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56529821"/>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56</xdr:row>
      <xdr:rowOff>38100</xdr:rowOff>
    </xdr:from>
    <xdr:to>
      <xdr:col>23</xdr:col>
      <xdr:colOff>866775</xdr:colOff>
      <xdr:row>74</xdr:row>
      <xdr:rowOff>85725</xdr:rowOff>
    </xdr:to>
    <xdr:graphicFrame>
      <xdr:nvGraphicFramePr>
        <xdr:cNvPr id="1" name="Chart 9"/>
        <xdr:cNvGraphicFramePr/>
      </xdr:nvGraphicFramePr>
      <xdr:xfrm>
        <a:off x="12315825" y="9734550"/>
        <a:ext cx="7267575" cy="3305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R134"/>
  <sheetViews>
    <sheetView tabSelected="1" zoomScale="95" zoomScaleNormal="95" workbookViewId="0" topLeftCell="A106">
      <selection activeCell="I114" sqref="I114"/>
    </sheetView>
  </sheetViews>
  <sheetFormatPr defaultColWidth="11.00390625" defaultRowHeight="14.25"/>
  <cols>
    <col min="1" max="1" width="2.50390625" style="1" customWidth="1"/>
    <col min="2" max="2" width="10.625" style="1" customWidth="1"/>
    <col min="3" max="3" width="7.75390625" style="1" customWidth="1"/>
    <col min="4" max="4" width="39.875" style="1" customWidth="1"/>
    <col min="5" max="6" width="10.625" style="1" customWidth="1"/>
    <col min="7" max="7" width="12.875" style="1" customWidth="1"/>
    <col min="8" max="8" width="5.50390625" style="1" customWidth="1"/>
    <col min="9" max="10" width="10.625" style="1" customWidth="1"/>
    <col min="11" max="15" width="15.375" style="1" customWidth="1"/>
    <col min="16" max="17" width="10.625" style="1" customWidth="1"/>
    <col min="18" max="18" width="13.25390625" style="1" customWidth="1"/>
    <col min="19" max="16384" width="10.625" style="1" customWidth="1"/>
  </cols>
  <sheetData>
    <row r="1" spans="2:8" ht="14.25">
      <c r="B1" s="1" t="s">
        <v>0</v>
      </c>
      <c r="C1" s="1" t="s">
        <v>1</v>
      </c>
      <c r="E1" s="1" t="s">
        <v>2</v>
      </c>
      <c r="F1" s="1" t="s">
        <v>3</v>
      </c>
      <c r="G1" s="1" t="s">
        <v>4</v>
      </c>
      <c r="H1" s="1" t="s">
        <v>5</v>
      </c>
    </row>
    <row r="2" spans="2:18" ht="14.25">
      <c r="B2" s="2">
        <v>42342</v>
      </c>
      <c r="C2" s="1">
        <v>112</v>
      </c>
      <c r="D2" s="1" t="s">
        <v>6</v>
      </c>
      <c r="E2" s="1" t="s">
        <v>7</v>
      </c>
      <c r="F2" s="1">
        <v>0.25</v>
      </c>
      <c r="G2" s="3">
        <f>C2*F2</f>
        <v>28</v>
      </c>
      <c r="H2" s="4">
        <v>1</v>
      </c>
      <c r="K2" s="1">
        <v>2019</v>
      </c>
      <c r="L2" s="1">
        <v>2018</v>
      </c>
      <c r="M2" s="1">
        <v>2017</v>
      </c>
      <c r="N2" s="1" t="s">
        <v>8</v>
      </c>
      <c r="O2" s="1" t="s">
        <v>9</v>
      </c>
      <c r="Q2"/>
      <c r="R2"/>
    </row>
    <row r="3" spans="2:18" ht="14.25">
      <c r="B3" s="2">
        <v>42342</v>
      </c>
      <c r="C3" s="1">
        <v>30</v>
      </c>
      <c r="D3" s="1" t="s">
        <v>10</v>
      </c>
      <c r="E3" s="1" t="s">
        <v>7</v>
      </c>
      <c r="F3" s="1">
        <v>0.25</v>
      </c>
      <c r="G3" s="3">
        <f>C3*F3</f>
        <v>7.5</v>
      </c>
      <c r="H3" s="4">
        <v>1</v>
      </c>
      <c r="J3" s="5" t="s">
        <v>11</v>
      </c>
      <c r="K3" s="6">
        <f>SUMIF($H$97:$H$955,"=5",$G$97:$G$955)</f>
        <v>13.64</v>
      </c>
      <c r="L3" s="6">
        <f>SUMIF($H$43:$H$96,"=5",$G$43:$G$96)</f>
        <v>22.28</v>
      </c>
      <c r="M3" s="6">
        <f>SUMIF($H$13:$H$42,"=5",$G$13:$G$42)</f>
        <v>227.40000000000003</v>
      </c>
      <c r="N3" s="6">
        <f>SUMIF($H$2:$H$12,"=5",$G$2:$G$12)</f>
        <v>0</v>
      </c>
      <c r="O3" s="6">
        <f>SUM(K3:N3)</f>
        <v>263.32000000000005</v>
      </c>
      <c r="Q3"/>
      <c r="R3"/>
    </row>
    <row r="4" spans="2:18" ht="14.25">
      <c r="B4" s="2">
        <v>42343</v>
      </c>
      <c r="C4" s="1">
        <v>5</v>
      </c>
      <c r="D4" s="1" t="s">
        <v>10</v>
      </c>
      <c r="E4" s="1" t="s">
        <v>7</v>
      </c>
      <c r="F4" s="1">
        <v>0.25</v>
      </c>
      <c r="G4" s="3">
        <f>C4*F4</f>
        <v>1.25</v>
      </c>
      <c r="H4" s="4">
        <v>1</v>
      </c>
      <c r="J4" s="7" t="s">
        <v>12</v>
      </c>
      <c r="K4" s="8">
        <f>SUMIF($H$97:$H$955,"=2",$G$97:$G$955)</f>
        <v>1140.0087</v>
      </c>
      <c r="L4" s="8">
        <f>SUMIF($H$43:$H$96,"=2",$G$43:$G$96)</f>
        <v>2329.943</v>
      </c>
      <c r="M4" s="8">
        <f>SUMIF($H$13:$H$42,"=2",$G$13:$G$42)</f>
        <v>635.9307799999999</v>
      </c>
      <c r="N4" s="8">
        <f>SUMIF($H$2:$H$12,"=2",$G$2:$G$12)</f>
        <v>103.49</v>
      </c>
      <c r="O4" s="8">
        <f>SUM(K4:N4)</f>
        <v>4209.37248</v>
      </c>
      <c r="Q4"/>
      <c r="R4"/>
    </row>
    <row r="5" spans="2:18" ht="14.25">
      <c r="B5" s="2">
        <v>42344</v>
      </c>
      <c r="C5" s="1">
        <v>20</v>
      </c>
      <c r="D5" s="1" t="s">
        <v>13</v>
      </c>
      <c r="E5" s="1" t="s">
        <v>7</v>
      </c>
      <c r="F5" s="1">
        <v>0.25</v>
      </c>
      <c r="G5" s="3">
        <f>C5*F5</f>
        <v>5</v>
      </c>
      <c r="H5" s="4">
        <v>1</v>
      </c>
      <c r="J5" s="9" t="s">
        <v>14</v>
      </c>
      <c r="K5" s="10">
        <f>SUMIF($H$97:$H$955,"=3",$G$97:$G$955)</f>
        <v>794.6563000000001</v>
      </c>
      <c r="L5" s="10">
        <f>SUMIF($H$43:$H$96,"=3",$G$43:$G$96)</f>
        <v>1676.36</v>
      </c>
      <c r="M5" s="10">
        <f>SUMIF($H$13:$H$42,"=3",$G$13:$G$42)</f>
        <v>1401.28</v>
      </c>
      <c r="N5" s="10">
        <f>SUMIF($H$2:$H$12,"=3",$G$2:$G$12)</f>
        <v>0</v>
      </c>
      <c r="O5" s="10">
        <f>SUM(K5:N5)</f>
        <v>3872.2963</v>
      </c>
      <c r="Q5"/>
      <c r="R5"/>
    </row>
    <row r="6" spans="2:18" ht="14.25">
      <c r="B6" s="2">
        <v>42347</v>
      </c>
      <c r="C6" s="1">
        <v>50</v>
      </c>
      <c r="D6" s="1" t="s">
        <v>15</v>
      </c>
      <c r="E6" s="1" t="s">
        <v>7</v>
      </c>
      <c r="F6" s="1">
        <v>0.25</v>
      </c>
      <c r="G6" s="3">
        <f>C6*F6</f>
        <v>12.5</v>
      </c>
      <c r="H6" s="4">
        <v>1</v>
      </c>
      <c r="J6" s="11" t="s">
        <v>16</v>
      </c>
      <c r="K6" s="12">
        <f>SUMIF($H$97:$H$955,"=4",$G$97:$G$955)</f>
        <v>1390</v>
      </c>
      <c r="L6" s="12">
        <f>SUMIF($H$43:$H$96,"=4",$G$43:$G$96)</f>
        <v>1155</v>
      </c>
      <c r="M6" s="12">
        <f>SUMIF($H$13:$H$42,"=4",$G$13:$G$42)</f>
        <v>590</v>
      </c>
      <c r="N6" s="12">
        <f>SUMIF($H$2:$H$12,"=4",$G$2:$G$12)</f>
        <v>0</v>
      </c>
      <c r="O6" s="12">
        <f>SUM(K6:N6)</f>
        <v>3135</v>
      </c>
      <c r="Q6"/>
      <c r="R6"/>
    </row>
    <row r="7" spans="2:18" ht="12.75">
      <c r="B7" s="2">
        <v>42351</v>
      </c>
      <c r="C7" s="1">
        <v>20</v>
      </c>
      <c r="D7" s="1" t="s">
        <v>17</v>
      </c>
      <c r="E7" s="1" t="s">
        <v>7</v>
      </c>
      <c r="F7" s="1">
        <v>0.25</v>
      </c>
      <c r="G7" s="3">
        <f>C7*F7</f>
        <v>5</v>
      </c>
      <c r="H7" s="4">
        <v>1</v>
      </c>
      <c r="J7" s="13" t="s">
        <v>18</v>
      </c>
      <c r="K7" s="14">
        <f>SUMIF($H$97:$H$955,"=6",$G$97:$G$955)</f>
        <v>144.61</v>
      </c>
      <c r="L7" s="14">
        <f>SUMIF($H$43:$H$96,"=6",$G$43:$G$96)</f>
        <v>1150</v>
      </c>
      <c r="M7" s="14">
        <f>SUMIF($H$13:$H$42,"=6",$G$13:$G$42)</f>
        <v>195.49559999999997</v>
      </c>
      <c r="N7" s="14">
        <f>SUMIF($H$2:$H$12,"=6",$G$2:$G$12)</f>
        <v>400</v>
      </c>
      <c r="O7" s="14">
        <f>SUM(K7:N7)</f>
        <v>1890.1055999999999</v>
      </c>
      <c r="Q7"/>
      <c r="R7"/>
    </row>
    <row r="8" spans="2:18" ht="12.75">
      <c r="B8" s="2">
        <v>42352</v>
      </c>
      <c r="C8" s="1">
        <v>250</v>
      </c>
      <c r="D8" s="1" t="s">
        <v>6</v>
      </c>
      <c r="E8" s="1" t="s">
        <v>7</v>
      </c>
      <c r="F8" s="1">
        <v>0.25</v>
      </c>
      <c r="G8" s="3">
        <f>C8*F8</f>
        <v>62.5</v>
      </c>
      <c r="H8" s="4">
        <v>1</v>
      </c>
      <c r="J8" s="1" t="s">
        <v>19</v>
      </c>
      <c r="K8" s="15">
        <f>SUMIF($H$97:$H$955,"=1",$G$97:$G$955)</f>
        <v>29.6</v>
      </c>
      <c r="L8" s="15">
        <f>SUMIF($H$43:$H$96,"=1",$G$43:$G$96)</f>
        <v>363.52233333333334</v>
      </c>
      <c r="M8" s="15">
        <f>SUMIF($H$13:$H$42,"=1",$G$13:$G$42)</f>
        <v>75.5315</v>
      </c>
      <c r="N8" s="15">
        <f>SUMIF($H$2:$H$12,"=1",$G$2:$G$12)</f>
        <v>133.85</v>
      </c>
      <c r="O8" s="15">
        <f>SUM(K8:N8)</f>
        <v>602.5038333333333</v>
      </c>
      <c r="Q8"/>
      <c r="R8"/>
    </row>
    <row r="9" spans="2:15" ht="12.75">
      <c r="B9" s="16">
        <v>42423</v>
      </c>
      <c r="C9" s="13">
        <v>100</v>
      </c>
      <c r="D9" s="13" t="s">
        <v>20</v>
      </c>
      <c r="E9" s="13" t="s">
        <v>7</v>
      </c>
      <c r="F9" s="13">
        <v>4</v>
      </c>
      <c r="G9" s="17">
        <f>C9*F9</f>
        <v>400</v>
      </c>
      <c r="H9" s="18">
        <v>6</v>
      </c>
      <c r="J9" s="19" t="s">
        <v>21</v>
      </c>
      <c r="K9" s="20">
        <f>SUMIF($H$97:$H$955,"=7",$G$97:$G$955)</f>
        <v>0</v>
      </c>
      <c r="L9" s="20">
        <f>SUMIF($H$43:$H$96,"=7",$G$43:$G$96)</f>
        <v>381.68</v>
      </c>
      <c r="M9" s="20">
        <f>SUMIF($H$13:$H$42,"=7",$G$13:$G$42)</f>
        <v>0</v>
      </c>
      <c r="N9" s="20">
        <f>SUMIF($H$2:$H$12,"=7",$G$2:$G$12)</f>
        <v>0</v>
      </c>
      <c r="O9" s="20">
        <f>SUM(K9:N9)</f>
        <v>381.68</v>
      </c>
    </row>
    <row r="10" spans="2:15" ht="12.75">
      <c r="B10" s="2">
        <v>42511</v>
      </c>
      <c r="C10" s="1">
        <v>10</v>
      </c>
      <c r="D10" s="1" t="s">
        <v>22</v>
      </c>
      <c r="E10" s="1" t="s">
        <v>23</v>
      </c>
      <c r="F10" s="1">
        <v>1.1</v>
      </c>
      <c r="G10" s="3">
        <f>C10*F10</f>
        <v>11</v>
      </c>
      <c r="H10" s="4">
        <v>1</v>
      </c>
      <c r="J10"/>
      <c r="K10"/>
      <c r="L10"/>
      <c r="M10"/>
      <c r="N10"/>
      <c r="O10"/>
    </row>
    <row r="11" spans="2:8" ht="12.75">
      <c r="B11" s="2">
        <v>42516</v>
      </c>
      <c r="C11" s="1">
        <v>1</v>
      </c>
      <c r="D11" s="1" t="s">
        <v>24</v>
      </c>
      <c r="E11" s="1" t="s">
        <v>23</v>
      </c>
      <c r="F11" s="1">
        <v>1.1</v>
      </c>
      <c r="G11" s="3">
        <f>C11*F11</f>
        <v>1.1</v>
      </c>
      <c r="H11" s="4">
        <v>1</v>
      </c>
    </row>
    <row r="12" spans="2:15" ht="12.75">
      <c r="B12" s="21">
        <v>42653</v>
      </c>
      <c r="C12" s="7">
        <v>103.49</v>
      </c>
      <c r="D12" s="7" t="s">
        <v>25</v>
      </c>
      <c r="E12" s="7"/>
      <c r="F12" s="7">
        <v>1</v>
      </c>
      <c r="G12" s="22">
        <f>C12*F12</f>
        <v>103.49</v>
      </c>
      <c r="H12" s="23">
        <v>2</v>
      </c>
      <c r="J12" s="1" t="s">
        <v>9</v>
      </c>
      <c r="K12" s="24">
        <f>SUM(K3:K9)</f>
        <v>3512.515</v>
      </c>
      <c r="L12" s="24">
        <f>SUM(L3:L9)</f>
        <v>7078.785333333333</v>
      </c>
      <c r="M12" s="24">
        <f>SUM(M3:M9)</f>
        <v>3125.6378799999998</v>
      </c>
      <c r="N12" s="24">
        <f>SUM(N3:N9)</f>
        <v>637.34</v>
      </c>
      <c r="O12" s="24">
        <f>SUM(K12:N12)</f>
        <v>14354.278213333333</v>
      </c>
    </row>
    <row r="13" spans="2:8" ht="12.75">
      <c r="B13" s="21">
        <v>42745</v>
      </c>
      <c r="C13" s="7">
        <v>111.79</v>
      </c>
      <c r="D13" s="7" t="s">
        <v>25</v>
      </c>
      <c r="E13" s="7"/>
      <c r="F13" s="7">
        <v>1</v>
      </c>
      <c r="G13" s="22">
        <f>C13*F13</f>
        <v>111.79</v>
      </c>
      <c r="H13" s="23">
        <v>2</v>
      </c>
    </row>
    <row r="14" spans="2:8" ht="12.75">
      <c r="B14" s="21">
        <v>42797</v>
      </c>
      <c r="C14" s="7">
        <v>117.59</v>
      </c>
      <c r="D14" s="7" t="s">
        <v>25</v>
      </c>
      <c r="E14" s="7"/>
      <c r="F14" s="7">
        <v>1</v>
      </c>
      <c r="G14" s="22">
        <f>C14*F14</f>
        <v>117.59</v>
      </c>
      <c r="H14" s="23">
        <v>2</v>
      </c>
    </row>
    <row r="15" spans="2:8" ht="12.75">
      <c r="B15" s="25">
        <v>42817</v>
      </c>
      <c r="C15" s="9">
        <v>331.43</v>
      </c>
      <c r="D15" s="9" t="s">
        <v>26</v>
      </c>
      <c r="E15" s="9"/>
      <c r="F15" s="9">
        <v>1</v>
      </c>
      <c r="G15" s="26">
        <f>C15*F15</f>
        <v>331.43</v>
      </c>
      <c r="H15" s="27">
        <v>3</v>
      </c>
    </row>
    <row r="16" spans="2:8" ht="12.75">
      <c r="B16" s="2">
        <v>42844</v>
      </c>
      <c r="C16" s="1">
        <v>20</v>
      </c>
      <c r="D16" s="1" t="s">
        <v>27</v>
      </c>
      <c r="E16" s="1" t="s">
        <v>28</v>
      </c>
      <c r="F16" s="1">
        <v>3.15</v>
      </c>
      <c r="G16" s="3">
        <f>C16*F16</f>
        <v>63</v>
      </c>
      <c r="H16" s="4">
        <v>1</v>
      </c>
    </row>
    <row r="17" spans="2:8" ht="12.75">
      <c r="B17" s="21">
        <v>42902</v>
      </c>
      <c r="C17" s="7">
        <v>177.9</v>
      </c>
      <c r="D17" s="7" t="s">
        <v>29</v>
      </c>
      <c r="E17" s="7"/>
      <c r="F17" s="7">
        <v>1</v>
      </c>
      <c r="G17" s="22">
        <f>C17*F17</f>
        <v>177.9</v>
      </c>
      <c r="H17" s="23">
        <v>2</v>
      </c>
    </row>
    <row r="18" spans="2:8" ht="12.75">
      <c r="B18" s="25">
        <v>42940</v>
      </c>
      <c r="C18" s="9">
        <v>327.9</v>
      </c>
      <c r="D18" s="9" t="s">
        <v>26</v>
      </c>
      <c r="E18" s="9"/>
      <c r="F18" s="9">
        <v>1</v>
      </c>
      <c r="G18" s="26">
        <f>C18*F18</f>
        <v>327.9</v>
      </c>
      <c r="H18" s="27">
        <v>3</v>
      </c>
    </row>
    <row r="19" spans="2:8" ht="12.75">
      <c r="B19" s="28">
        <v>42944</v>
      </c>
      <c r="C19" s="11">
        <v>240</v>
      </c>
      <c r="D19" s="11" t="s">
        <v>30</v>
      </c>
      <c r="E19" s="11"/>
      <c r="F19" s="11">
        <v>1</v>
      </c>
      <c r="G19" s="29">
        <f>C19*F19</f>
        <v>240</v>
      </c>
      <c r="H19" s="30">
        <v>4</v>
      </c>
    </row>
    <row r="20" spans="2:8" ht="12.75">
      <c r="B20" s="28">
        <v>42957</v>
      </c>
      <c r="C20" s="11">
        <v>50</v>
      </c>
      <c r="D20" s="11" t="s">
        <v>30</v>
      </c>
      <c r="E20" s="11"/>
      <c r="F20" s="11">
        <v>1</v>
      </c>
      <c r="G20" s="29">
        <f>C20*F20</f>
        <v>50</v>
      </c>
      <c r="H20" s="30">
        <v>4</v>
      </c>
    </row>
    <row r="21" spans="2:8" ht="12.75">
      <c r="B21" s="21">
        <v>42985</v>
      </c>
      <c r="C21" s="7">
        <v>34.72</v>
      </c>
      <c r="D21" s="7" t="s">
        <v>29</v>
      </c>
      <c r="E21" s="7"/>
      <c r="F21" s="7">
        <v>3.03</v>
      </c>
      <c r="G21" s="22">
        <f>C21*F21</f>
        <v>105.20159999999998</v>
      </c>
      <c r="H21" s="23">
        <v>2</v>
      </c>
    </row>
    <row r="22" spans="2:8" ht="12.75">
      <c r="B22" s="16">
        <v>42988</v>
      </c>
      <c r="C22" s="13">
        <v>64.52</v>
      </c>
      <c r="D22" s="13" t="s">
        <v>31</v>
      </c>
      <c r="E22" s="13"/>
      <c r="F22" s="13">
        <v>3.03</v>
      </c>
      <c r="G22" s="17">
        <f>C22*F22</f>
        <v>195.49559999999997</v>
      </c>
      <c r="H22" s="18">
        <v>6</v>
      </c>
    </row>
    <row r="23" spans="2:8" ht="12.75">
      <c r="B23" s="28">
        <v>42967</v>
      </c>
      <c r="C23" s="11">
        <v>50</v>
      </c>
      <c r="D23" s="11" t="s">
        <v>30</v>
      </c>
      <c r="E23" s="11"/>
      <c r="F23" s="11">
        <v>1</v>
      </c>
      <c r="G23" s="29">
        <f>C23*F23</f>
        <v>50</v>
      </c>
      <c r="H23" s="30">
        <v>4</v>
      </c>
    </row>
    <row r="24" spans="2:8" ht="12.75">
      <c r="B24" s="31">
        <v>43005</v>
      </c>
      <c r="C24" s="5">
        <v>8.81</v>
      </c>
      <c r="D24" s="5" t="s">
        <v>32</v>
      </c>
      <c r="E24" s="5"/>
      <c r="F24" s="5">
        <v>1</v>
      </c>
      <c r="G24" s="32">
        <f>C24*F24</f>
        <v>8.81</v>
      </c>
      <c r="H24" s="33">
        <v>5</v>
      </c>
    </row>
    <row r="25" spans="2:8" ht="12.75">
      <c r="B25" s="31">
        <v>42981</v>
      </c>
      <c r="C25" s="5">
        <f>8.81*2</f>
        <v>17.62</v>
      </c>
      <c r="D25" s="5" t="s">
        <v>33</v>
      </c>
      <c r="E25" s="5"/>
      <c r="F25" s="5">
        <v>1</v>
      </c>
      <c r="G25" s="32">
        <f>C25*F25</f>
        <v>17.62</v>
      </c>
      <c r="H25" s="33">
        <v>5</v>
      </c>
    </row>
    <row r="26" spans="2:8" ht="12.75">
      <c r="B26" s="25">
        <v>43033</v>
      </c>
      <c r="C26" s="9">
        <v>393</v>
      </c>
      <c r="D26" s="9" t="s">
        <v>26</v>
      </c>
      <c r="E26" s="9"/>
      <c r="F26" s="9">
        <v>1</v>
      </c>
      <c r="G26" s="26">
        <f>C26*F26</f>
        <v>393</v>
      </c>
      <c r="H26" s="27">
        <v>3</v>
      </c>
    </row>
    <row r="27" spans="2:8" ht="12.75">
      <c r="B27" s="31">
        <v>43040</v>
      </c>
      <c r="C27" s="5">
        <v>100</v>
      </c>
      <c r="D27" s="5" t="s">
        <v>34</v>
      </c>
      <c r="E27" s="5"/>
      <c r="F27" s="5">
        <v>1</v>
      </c>
      <c r="G27" s="32">
        <f>C27*F27</f>
        <v>100</v>
      </c>
      <c r="H27" s="33">
        <v>5</v>
      </c>
    </row>
    <row r="28" spans="2:8" ht="12.75">
      <c r="B28" s="31">
        <v>43041</v>
      </c>
      <c r="C28" s="5">
        <v>8.81</v>
      </c>
      <c r="D28" s="5" t="s">
        <v>32</v>
      </c>
      <c r="E28" s="5"/>
      <c r="F28" s="5">
        <v>1</v>
      </c>
      <c r="G28" s="32">
        <f>C28*F28</f>
        <v>8.81</v>
      </c>
      <c r="H28" s="33">
        <v>5</v>
      </c>
    </row>
    <row r="29" spans="2:8" ht="12.75">
      <c r="B29" s="28">
        <v>43042</v>
      </c>
      <c r="C29" s="11">
        <v>50</v>
      </c>
      <c r="D29" s="11" t="s">
        <v>30</v>
      </c>
      <c r="E29" s="11"/>
      <c r="F29" s="11">
        <v>1</v>
      </c>
      <c r="G29" s="29">
        <f>C29*F29</f>
        <v>50</v>
      </c>
      <c r="H29" s="30">
        <v>4</v>
      </c>
    </row>
    <row r="30" spans="2:8" ht="12.75">
      <c r="B30" s="28">
        <v>43044</v>
      </c>
      <c r="C30" s="11">
        <v>50</v>
      </c>
      <c r="D30" s="11" t="s">
        <v>30</v>
      </c>
      <c r="E30" s="11"/>
      <c r="F30" s="11">
        <v>1</v>
      </c>
      <c r="G30" s="29">
        <f>C30*F30</f>
        <v>50</v>
      </c>
      <c r="H30" s="30">
        <v>4</v>
      </c>
    </row>
    <row r="31" spans="2:8" ht="12.75">
      <c r="B31" s="31">
        <v>43045</v>
      </c>
      <c r="C31" s="5">
        <v>9.9</v>
      </c>
      <c r="D31" s="5" t="s">
        <v>35</v>
      </c>
      <c r="E31" s="5"/>
      <c r="F31" s="5">
        <v>1</v>
      </c>
      <c r="G31" s="32">
        <f>C31*F31</f>
        <v>9.9</v>
      </c>
      <c r="H31" s="33">
        <v>5</v>
      </c>
    </row>
    <row r="32" spans="2:8" ht="12.75">
      <c r="B32" s="31">
        <v>43046</v>
      </c>
      <c r="C32" s="5">
        <v>50</v>
      </c>
      <c r="D32" s="5" t="s">
        <v>34</v>
      </c>
      <c r="E32" s="5"/>
      <c r="F32" s="5">
        <v>1</v>
      </c>
      <c r="G32" s="32">
        <f>C32*F32</f>
        <v>50</v>
      </c>
      <c r="H32" s="33">
        <v>5</v>
      </c>
    </row>
    <row r="33" spans="2:8" ht="12.75">
      <c r="B33" s="21">
        <v>43047</v>
      </c>
      <c r="C33" s="7">
        <v>39.29</v>
      </c>
      <c r="D33" s="7" t="s">
        <v>25</v>
      </c>
      <c r="E33" s="7"/>
      <c r="F33" s="7">
        <v>3.142</v>
      </c>
      <c r="G33" s="22">
        <f>C33*F33</f>
        <v>123.44918</v>
      </c>
      <c r="H33" s="23">
        <v>2</v>
      </c>
    </row>
    <row r="34" spans="2:8" ht="12.75">
      <c r="B34" s="31">
        <v>43048</v>
      </c>
      <c r="C34" s="5">
        <v>8.8</v>
      </c>
      <c r="D34" s="5" t="s">
        <v>36</v>
      </c>
      <c r="E34" s="5"/>
      <c r="F34" s="5">
        <v>1</v>
      </c>
      <c r="G34" s="32">
        <f>C34*F34</f>
        <v>8.8</v>
      </c>
      <c r="H34" s="33">
        <v>5</v>
      </c>
    </row>
    <row r="35" spans="2:8" ht="12.75">
      <c r="B35" s="2">
        <v>43049</v>
      </c>
      <c r="C35" s="1">
        <v>50</v>
      </c>
      <c r="D35" s="1" t="s">
        <v>37</v>
      </c>
      <c r="E35" s="1" t="s">
        <v>38</v>
      </c>
      <c r="F35" s="1">
        <v>0.18</v>
      </c>
      <c r="G35" s="3">
        <f>C35*F35</f>
        <v>9</v>
      </c>
      <c r="H35" s="4">
        <v>1</v>
      </c>
    </row>
    <row r="36" spans="2:8" ht="12.75">
      <c r="B36" s="28">
        <v>43060</v>
      </c>
      <c r="C36" s="11">
        <v>50</v>
      </c>
      <c r="D36" s="11" t="s">
        <v>30</v>
      </c>
      <c r="E36" s="11"/>
      <c r="F36" s="11">
        <v>1</v>
      </c>
      <c r="G36" s="29">
        <f>C36*F36</f>
        <v>50</v>
      </c>
      <c r="H36" s="30">
        <v>4</v>
      </c>
    </row>
    <row r="37" spans="2:8" ht="12.75">
      <c r="B37" s="28">
        <v>43062</v>
      </c>
      <c r="C37" s="11">
        <v>50</v>
      </c>
      <c r="D37" s="11" t="s">
        <v>30</v>
      </c>
      <c r="E37" s="11"/>
      <c r="F37" s="11">
        <v>1</v>
      </c>
      <c r="G37" s="29">
        <f>C37*F37</f>
        <v>50</v>
      </c>
      <c r="H37" s="30">
        <v>4</v>
      </c>
    </row>
    <row r="38" spans="2:8" ht="12.75">
      <c r="B38" s="28">
        <v>43063</v>
      </c>
      <c r="C38" s="11">
        <v>50</v>
      </c>
      <c r="D38" s="11" t="s">
        <v>30</v>
      </c>
      <c r="E38" s="11"/>
      <c r="F38" s="11">
        <v>1</v>
      </c>
      <c r="G38" s="29">
        <f>C38*F38</f>
        <v>50</v>
      </c>
      <c r="H38" s="30">
        <v>4</v>
      </c>
    </row>
    <row r="39" spans="2:8" ht="12.75">
      <c r="B39" s="2">
        <v>43054</v>
      </c>
      <c r="C39" s="1">
        <v>50</v>
      </c>
      <c r="D39" s="1" t="s">
        <v>39</v>
      </c>
      <c r="E39" s="1" t="s">
        <v>40</v>
      </c>
      <c r="F39" s="34">
        <v>0.07063000000000001</v>
      </c>
      <c r="G39" s="3">
        <f>C39*F39</f>
        <v>3.5315000000000007</v>
      </c>
      <c r="H39" s="4">
        <v>1</v>
      </c>
    </row>
    <row r="40" spans="2:8" ht="12.75">
      <c r="B40" s="31">
        <v>43063</v>
      </c>
      <c r="C40" s="5">
        <v>20</v>
      </c>
      <c r="D40" s="5" t="s">
        <v>41</v>
      </c>
      <c r="E40" s="5"/>
      <c r="F40" s="5">
        <v>1</v>
      </c>
      <c r="G40" s="32">
        <f>C40*F40</f>
        <v>20</v>
      </c>
      <c r="H40" s="33">
        <v>5</v>
      </c>
    </row>
    <row r="41" spans="2:8" ht="12.75">
      <c r="B41" s="25">
        <v>43097</v>
      </c>
      <c r="C41" s="9">
        <v>348.95</v>
      </c>
      <c r="D41" s="9" t="s">
        <v>26</v>
      </c>
      <c r="E41" s="9"/>
      <c r="F41" s="9">
        <v>1</v>
      </c>
      <c r="G41" s="26">
        <f>C41*F41</f>
        <v>348.95</v>
      </c>
      <c r="H41" s="27">
        <v>3</v>
      </c>
    </row>
    <row r="42" spans="2:8" ht="12.75">
      <c r="B42" s="31">
        <v>43098</v>
      </c>
      <c r="C42" s="5">
        <v>3.46</v>
      </c>
      <c r="D42" s="5" t="s">
        <v>42</v>
      </c>
      <c r="E42" s="5"/>
      <c r="F42" s="5">
        <v>1</v>
      </c>
      <c r="G42" s="32">
        <f>C42*F42</f>
        <v>3.46</v>
      </c>
      <c r="H42" s="33">
        <v>5</v>
      </c>
    </row>
    <row r="43" spans="2:8" ht="12.75">
      <c r="B43" s="31">
        <v>43102</v>
      </c>
      <c r="C43" s="5">
        <v>8.8</v>
      </c>
      <c r="D43" s="5" t="s">
        <v>41</v>
      </c>
      <c r="E43" s="5"/>
      <c r="F43" s="5">
        <v>1</v>
      </c>
      <c r="G43" s="32">
        <f>C43*F43</f>
        <v>8.8</v>
      </c>
      <c r="H43" s="33">
        <v>5</v>
      </c>
    </row>
    <row r="44" spans="2:8" ht="12.75">
      <c r="B44" s="28">
        <v>43109</v>
      </c>
      <c r="C44" s="11">
        <v>50</v>
      </c>
      <c r="D44" s="11" t="s">
        <v>30</v>
      </c>
      <c r="E44" s="11"/>
      <c r="F44" s="11">
        <v>1</v>
      </c>
      <c r="G44" s="29">
        <f>C44*F44</f>
        <v>50</v>
      </c>
      <c r="H44" s="30">
        <v>4</v>
      </c>
    </row>
    <row r="45" spans="2:8" ht="12.75">
      <c r="B45" s="28">
        <v>43111</v>
      </c>
      <c r="C45" s="11">
        <v>50</v>
      </c>
      <c r="D45" s="11" t="s">
        <v>30</v>
      </c>
      <c r="E45" s="11"/>
      <c r="F45" s="11">
        <v>1</v>
      </c>
      <c r="G45" s="29">
        <f>C45*F45</f>
        <v>50</v>
      </c>
      <c r="H45" s="30">
        <v>4</v>
      </c>
    </row>
    <row r="46" spans="2:8" ht="12.75">
      <c r="B46" s="21">
        <v>43111</v>
      </c>
      <c r="C46" s="7">
        <v>209.53</v>
      </c>
      <c r="D46" s="7" t="s">
        <v>29</v>
      </c>
      <c r="E46" s="7"/>
      <c r="F46" s="7">
        <v>1</v>
      </c>
      <c r="G46" s="22">
        <f>C46*F46</f>
        <v>209.53</v>
      </c>
      <c r="H46" s="23">
        <v>2</v>
      </c>
    </row>
    <row r="47" spans="2:8" ht="12.75">
      <c r="B47" s="28">
        <v>43120</v>
      </c>
      <c r="C47" s="11">
        <v>50</v>
      </c>
      <c r="D47" s="11" t="s">
        <v>30</v>
      </c>
      <c r="E47" s="11"/>
      <c r="F47" s="11">
        <v>1</v>
      </c>
      <c r="G47" s="29">
        <f>C47*F47</f>
        <v>50</v>
      </c>
      <c r="H47" s="30">
        <v>4</v>
      </c>
    </row>
    <row r="48" spans="2:8" ht="12.75">
      <c r="B48" s="28">
        <v>43122</v>
      </c>
      <c r="C48" s="11">
        <v>50</v>
      </c>
      <c r="D48" s="11" t="s">
        <v>30</v>
      </c>
      <c r="E48" s="11"/>
      <c r="F48" s="11">
        <v>1</v>
      </c>
      <c r="G48" s="29">
        <f>C48*F48</f>
        <v>50</v>
      </c>
      <c r="H48" s="30">
        <v>4</v>
      </c>
    </row>
    <row r="49" spans="2:8" ht="12.75">
      <c r="B49" s="31">
        <v>43133</v>
      </c>
      <c r="C49" s="5">
        <v>5.2</v>
      </c>
      <c r="D49" s="5" t="s">
        <v>42</v>
      </c>
      <c r="E49" s="5"/>
      <c r="F49" s="5">
        <v>1</v>
      </c>
      <c r="G49" s="32">
        <f>C49*F49</f>
        <v>5.2</v>
      </c>
      <c r="H49" s="33">
        <v>5</v>
      </c>
    </row>
    <row r="50" spans="2:8" ht="12.75">
      <c r="B50" s="28">
        <v>43138</v>
      </c>
      <c r="C50" s="11">
        <v>50</v>
      </c>
      <c r="D50" s="11" t="s">
        <v>30</v>
      </c>
      <c r="E50" s="11"/>
      <c r="F50" s="11">
        <v>1</v>
      </c>
      <c r="G50" s="29">
        <f>C50*F50</f>
        <v>50</v>
      </c>
      <c r="H50" s="30">
        <v>4</v>
      </c>
    </row>
    <row r="51" spans="2:8" ht="12.75">
      <c r="B51" s="21">
        <v>43143</v>
      </c>
      <c r="C51" s="7">
        <v>117.85</v>
      </c>
      <c r="D51" s="7" t="s">
        <v>29</v>
      </c>
      <c r="E51" s="7"/>
      <c r="F51" s="7">
        <v>1</v>
      </c>
      <c r="G51" s="22">
        <f>C51*F51</f>
        <v>117.85</v>
      </c>
      <c r="H51" s="23">
        <v>2</v>
      </c>
    </row>
    <row r="52" spans="2:8" ht="12.75">
      <c r="B52" s="28">
        <v>43148</v>
      </c>
      <c r="C52" s="11">
        <v>50</v>
      </c>
      <c r="D52" s="11" t="s">
        <v>30</v>
      </c>
      <c r="E52" s="11"/>
      <c r="F52" s="11">
        <v>1</v>
      </c>
      <c r="G52" s="29">
        <f>C52*F52</f>
        <v>50</v>
      </c>
      <c r="H52" s="30">
        <v>4</v>
      </c>
    </row>
    <row r="53" spans="2:8" ht="12.75">
      <c r="B53" s="25">
        <v>43154</v>
      </c>
      <c r="C53" s="9">
        <v>331.97</v>
      </c>
      <c r="D53" s="9" t="s">
        <v>43</v>
      </c>
      <c r="E53" s="9"/>
      <c r="F53" s="9">
        <v>1</v>
      </c>
      <c r="G53" s="26">
        <f>C53*F53</f>
        <v>331.97</v>
      </c>
      <c r="H53" s="27">
        <v>3</v>
      </c>
    </row>
    <row r="54" spans="2:8" ht="12.75">
      <c r="B54" s="31">
        <v>43159</v>
      </c>
      <c r="C54" s="5">
        <v>2.76</v>
      </c>
      <c r="D54" s="5" t="s">
        <v>42</v>
      </c>
      <c r="E54" s="5"/>
      <c r="F54" s="5">
        <v>1</v>
      </c>
      <c r="G54" s="32">
        <f>C54*F54</f>
        <v>2.76</v>
      </c>
      <c r="H54" s="33">
        <v>5</v>
      </c>
    </row>
    <row r="55" spans="2:8" ht="12.75">
      <c r="B55" s="28">
        <v>43162</v>
      </c>
      <c r="C55" s="11">
        <v>50</v>
      </c>
      <c r="D55" s="11" t="s">
        <v>30</v>
      </c>
      <c r="E55" s="11"/>
      <c r="F55" s="11">
        <v>1</v>
      </c>
      <c r="G55" s="29">
        <f>C55*F55</f>
        <v>50</v>
      </c>
      <c r="H55" s="30">
        <v>4</v>
      </c>
    </row>
    <row r="56" spans="2:8" ht="12.75">
      <c r="B56" s="21">
        <v>43167</v>
      </c>
      <c r="C56" s="7">
        <v>45.7</v>
      </c>
      <c r="D56" s="7" t="s">
        <v>29</v>
      </c>
      <c r="E56" s="7"/>
      <c r="F56" s="7">
        <v>3.14</v>
      </c>
      <c r="G56" s="22">
        <f>C56*F56</f>
        <v>143.49800000000002</v>
      </c>
      <c r="H56" s="23">
        <v>2</v>
      </c>
    </row>
    <row r="57" spans="2:8" ht="12.75">
      <c r="B57" s="28">
        <v>43175</v>
      </c>
      <c r="C57" s="11">
        <v>65</v>
      </c>
      <c r="D57" s="11" t="s">
        <v>30</v>
      </c>
      <c r="E57" s="11"/>
      <c r="F57" s="11">
        <v>1</v>
      </c>
      <c r="G57" s="29">
        <f>C57*F57</f>
        <v>65</v>
      </c>
      <c r="H57" s="30">
        <v>4</v>
      </c>
    </row>
    <row r="58" spans="2:8" ht="12.75">
      <c r="B58" s="28">
        <v>43182</v>
      </c>
      <c r="C58" s="11">
        <v>50</v>
      </c>
      <c r="D58" s="11" t="s">
        <v>30</v>
      </c>
      <c r="E58" s="11"/>
      <c r="F58" s="11">
        <v>1</v>
      </c>
      <c r="G58" s="29">
        <f>C58*F58</f>
        <v>50</v>
      </c>
      <c r="H58" s="30">
        <v>4</v>
      </c>
    </row>
    <row r="59" spans="2:8" ht="12.75">
      <c r="B59" s="28">
        <v>43192</v>
      </c>
      <c r="C59" s="11">
        <v>50</v>
      </c>
      <c r="D59" s="11" t="s">
        <v>30</v>
      </c>
      <c r="E59" s="11"/>
      <c r="F59" s="11">
        <v>1</v>
      </c>
      <c r="G59" s="29">
        <f>C59*F59</f>
        <v>50</v>
      </c>
      <c r="H59" s="30">
        <v>4</v>
      </c>
    </row>
    <row r="60" spans="2:8" ht="12.75">
      <c r="B60" s="28">
        <v>43219</v>
      </c>
      <c r="C60" s="11">
        <v>50</v>
      </c>
      <c r="D60" s="11" t="s">
        <v>30</v>
      </c>
      <c r="E60" s="11"/>
      <c r="F60" s="11">
        <v>1</v>
      </c>
      <c r="G60" s="29">
        <f>C60*F60</f>
        <v>50</v>
      </c>
      <c r="H60" s="30">
        <v>4</v>
      </c>
    </row>
    <row r="61" spans="2:8" ht="12.75">
      <c r="B61" s="28">
        <v>43222</v>
      </c>
      <c r="C61" s="11">
        <v>65</v>
      </c>
      <c r="D61" s="11" t="s">
        <v>30</v>
      </c>
      <c r="E61" s="11"/>
      <c r="F61" s="11">
        <v>1</v>
      </c>
      <c r="G61" s="29">
        <f>C61*F61</f>
        <v>65</v>
      </c>
      <c r="H61" s="30">
        <v>4</v>
      </c>
    </row>
    <row r="62" spans="2:8" ht="12.75">
      <c r="B62" s="28">
        <v>43223</v>
      </c>
      <c r="C62" s="11">
        <v>65</v>
      </c>
      <c r="D62" s="11" t="s">
        <v>30</v>
      </c>
      <c r="E62" s="11"/>
      <c r="F62" s="11">
        <v>1</v>
      </c>
      <c r="G62" s="29">
        <f>C62*F62</f>
        <v>65</v>
      </c>
      <c r="H62" s="30">
        <v>4</v>
      </c>
    </row>
    <row r="63" spans="2:8" ht="12.75">
      <c r="B63" s="21">
        <v>43228</v>
      </c>
      <c r="C63" s="7">
        <v>68</v>
      </c>
      <c r="D63" s="7" t="s">
        <v>29</v>
      </c>
      <c r="E63" s="7"/>
      <c r="F63" s="7">
        <v>3.5</v>
      </c>
      <c r="G63" s="22">
        <f>C63*F63</f>
        <v>238</v>
      </c>
      <c r="H63" s="23">
        <v>2</v>
      </c>
    </row>
    <row r="64" spans="2:8" ht="12.75">
      <c r="B64" s="28">
        <v>43232</v>
      </c>
      <c r="C64" s="11">
        <v>50</v>
      </c>
      <c r="D64" s="11" t="s">
        <v>30</v>
      </c>
      <c r="E64" s="11"/>
      <c r="F64" s="11">
        <v>1</v>
      </c>
      <c r="G64" s="29">
        <f>C64*F64</f>
        <v>50</v>
      </c>
      <c r="H64" s="30">
        <v>4</v>
      </c>
    </row>
    <row r="65" spans="2:8" ht="12.75">
      <c r="B65" s="28">
        <v>43233</v>
      </c>
      <c r="C65" s="11">
        <v>65</v>
      </c>
      <c r="D65" s="11" t="s">
        <v>30</v>
      </c>
      <c r="E65" s="11"/>
      <c r="F65" s="11">
        <v>1</v>
      </c>
      <c r="G65" s="29">
        <f>C65*F65</f>
        <v>65</v>
      </c>
      <c r="H65" s="30">
        <v>4</v>
      </c>
    </row>
    <row r="66" spans="2:8" ht="12.75">
      <c r="B66" s="25">
        <v>43243</v>
      </c>
      <c r="C66" s="9">
        <v>411.84</v>
      </c>
      <c r="D66" s="9" t="s">
        <v>43</v>
      </c>
      <c r="E66" s="9"/>
      <c r="F66" s="9">
        <v>1</v>
      </c>
      <c r="G66" s="26">
        <f>C66*F66</f>
        <v>411.84</v>
      </c>
      <c r="H66" s="27">
        <v>3</v>
      </c>
    </row>
    <row r="67" spans="2:8" ht="12.75">
      <c r="B67" s="2">
        <v>43267</v>
      </c>
      <c r="C67" s="1">
        <v>75</v>
      </c>
      <c r="D67" s="1" t="s">
        <v>44</v>
      </c>
      <c r="F67" s="1">
        <v>1</v>
      </c>
      <c r="G67" s="35">
        <f>C67*F67</f>
        <v>75</v>
      </c>
      <c r="H67" s="4">
        <v>1</v>
      </c>
    </row>
    <row r="68" spans="2:8" ht="12.75">
      <c r="B68" s="2">
        <v>43281</v>
      </c>
      <c r="C68" s="1">
        <v>23.87</v>
      </c>
      <c r="D68" s="1" t="s">
        <v>45</v>
      </c>
      <c r="F68" s="1">
        <v>1</v>
      </c>
      <c r="G68" s="3">
        <f>C68*F68</f>
        <v>23.87</v>
      </c>
      <c r="H68" s="4">
        <v>1</v>
      </c>
    </row>
    <row r="69" spans="2:8" ht="12.75">
      <c r="B69" s="31">
        <v>43281</v>
      </c>
      <c r="C69" s="5">
        <v>2.76</v>
      </c>
      <c r="D69" s="5" t="s">
        <v>42</v>
      </c>
      <c r="E69" s="5"/>
      <c r="F69" s="5">
        <v>1</v>
      </c>
      <c r="G69" s="32">
        <f>C69*F69</f>
        <v>2.76</v>
      </c>
      <c r="H69" s="33">
        <v>5</v>
      </c>
    </row>
    <row r="70" spans="2:8" ht="12.75">
      <c r="B70" s="21">
        <v>43287</v>
      </c>
      <c r="C70" s="7">
        <v>60.52</v>
      </c>
      <c r="D70" s="7" t="s">
        <v>29</v>
      </c>
      <c r="E70" s="7"/>
      <c r="F70" s="7">
        <v>3.8</v>
      </c>
      <c r="G70" s="22">
        <f>C70*F70</f>
        <v>229.976</v>
      </c>
      <c r="H70" s="23">
        <v>2</v>
      </c>
    </row>
    <row r="71" spans="2:8" ht="12.75">
      <c r="B71" s="28">
        <v>43301</v>
      </c>
      <c r="C71" s="11">
        <v>65</v>
      </c>
      <c r="D71" s="11" t="s">
        <v>30</v>
      </c>
      <c r="E71" s="11"/>
      <c r="F71" s="11">
        <v>1</v>
      </c>
      <c r="G71" s="29">
        <f>C71*F71</f>
        <v>65</v>
      </c>
      <c r="H71" s="30">
        <v>4</v>
      </c>
    </row>
    <row r="72" spans="2:8" ht="12.75">
      <c r="B72" s="2">
        <v>43306</v>
      </c>
      <c r="C72" s="1">
        <v>27.67</v>
      </c>
      <c r="D72" s="1" t="s">
        <v>45</v>
      </c>
      <c r="F72" s="1">
        <v>1</v>
      </c>
      <c r="G72" s="3">
        <f>C72*F72</f>
        <v>27.67</v>
      </c>
      <c r="H72" s="4">
        <v>1</v>
      </c>
    </row>
    <row r="73" spans="2:8" ht="12.75">
      <c r="B73" s="28">
        <v>43312</v>
      </c>
      <c r="C73" s="11">
        <v>65</v>
      </c>
      <c r="D73" s="11" t="s">
        <v>30</v>
      </c>
      <c r="E73" s="11"/>
      <c r="F73" s="11">
        <v>1</v>
      </c>
      <c r="G73" s="29">
        <f>C73*F73</f>
        <v>65</v>
      </c>
      <c r="H73" s="30">
        <v>4</v>
      </c>
    </row>
    <row r="74" spans="2:8" ht="12.75">
      <c r="B74" s="21">
        <v>43316</v>
      </c>
      <c r="C74" s="7">
        <v>38.18</v>
      </c>
      <c r="D74" s="7" t="s">
        <v>29</v>
      </c>
      <c r="E74" s="7"/>
      <c r="F74" s="7">
        <v>3.75</v>
      </c>
      <c r="G74" s="22">
        <f>C74*F74</f>
        <v>143.175</v>
      </c>
      <c r="H74" s="23">
        <v>2</v>
      </c>
    </row>
    <row r="75" spans="2:8" ht="12.75">
      <c r="B75" s="2">
        <v>43320</v>
      </c>
      <c r="C75" s="1">
        <v>29</v>
      </c>
      <c r="D75" s="1" t="s">
        <v>46</v>
      </c>
      <c r="F75" s="1">
        <v>1</v>
      </c>
      <c r="G75" s="3">
        <f>C75*F75</f>
        <v>29</v>
      </c>
      <c r="H75" s="4">
        <v>1</v>
      </c>
    </row>
    <row r="76" spans="2:8" ht="12.75">
      <c r="B76" s="28">
        <v>43324</v>
      </c>
      <c r="C76" s="11">
        <v>50</v>
      </c>
      <c r="D76" s="11" t="s">
        <v>30</v>
      </c>
      <c r="E76" s="11"/>
      <c r="F76" s="11">
        <v>1</v>
      </c>
      <c r="G76" s="29">
        <f>C76*F76</f>
        <v>50</v>
      </c>
      <c r="H76" s="30">
        <v>4</v>
      </c>
    </row>
    <row r="77" spans="2:8" ht="12.75">
      <c r="B77" s="25">
        <v>43337</v>
      </c>
      <c r="C77" s="9">
        <v>490</v>
      </c>
      <c r="D77" s="9" t="s">
        <v>43</v>
      </c>
      <c r="E77" s="9"/>
      <c r="F77" s="9">
        <v>1</v>
      </c>
      <c r="G77" s="26">
        <f>C77*F77</f>
        <v>490</v>
      </c>
      <c r="H77" s="27">
        <v>3</v>
      </c>
    </row>
    <row r="78" spans="2:8" ht="12.75">
      <c r="B78" s="2">
        <v>43339</v>
      </c>
      <c r="C78" s="1">
        <v>32</v>
      </c>
      <c r="D78" s="1" t="s">
        <v>46</v>
      </c>
      <c r="F78" s="1">
        <v>1</v>
      </c>
      <c r="G78" s="3">
        <f>C78*F78</f>
        <v>32</v>
      </c>
      <c r="H78" s="4">
        <v>1</v>
      </c>
    </row>
    <row r="79" spans="2:8" ht="12.75">
      <c r="B79" s="31">
        <v>43342</v>
      </c>
      <c r="C79" s="5">
        <v>2.76</v>
      </c>
      <c r="D79" s="5" t="s">
        <v>42</v>
      </c>
      <c r="E79" s="5"/>
      <c r="F79" s="5">
        <v>1</v>
      </c>
      <c r="G79" s="32">
        <f>C79*F79</f>
        <v>2.76</v>
      </c>
      <c r="H79" s="33">
        <v>5</v>
      </c>
    </row>
    <row r="80" spans="2:8" ht="12.75">
      <c r="B80" s="28">
        <v>43344</v>
      </c>
      <c r="C80" s="11">
        <v>65</v>
      </c>
      <c r="D80" s="11" t="s">
        <v>30</v>
      </c>
      <c r="E80" s="11"/>
      <c r="F80" s="11">
        <v>1</v>
      </c>
      <c r="G80" s="29">
        <f>C80*F80</f>
        <v>65</v>
      </c>
      <c r="H80" s="30">
        <v>4</v>
      </c>
    </row>
    <row r="81" spans="2:8" ht="12.75">
      <c r="B81" s="21">
        <v>43351</v>
      </c>
      <c r="C81" s="7">
        <v>104.07</v>
      </c>
      <c r="D81" s="7" t="s">
        <v>29</v>
      </c>
      <c r="E81" s="7"/>
      <c r="F81" s="7">
        <v>4.1</v>
      </c>
      <c r="G81" s="22">
        <f>C81*F81</f>
        <v>426.68699999999995</v>
      </c>
      <c r="H81" s="23">
        <v>2</v>
      </c>
    </row>
    <row r="82" spans="2:8" ht="12.75">
      <c r="B82" s="28">
        <v>43351</v>
      </c>
      <c r="C82" s="11">
        <v>50</v>
      </c>
      <c r="D82" s="11" t="s">
        <v>30</v>
      </c>
      <c r="E82" s="11"/>
      <c r="F82" s="11">
        <v>1</v>
      </c>
      <c r="G82" s="29">
        <f>C82*F82</f>
        <v>50</v>
      </c>
      <c r="H82" s="30">
        <v>4</v>
      </c>
    </row>
    <row r="83" spans="2:8" ht="12.75">
      <c r="B83" s="28">
        <v>43356</v>
      </c>
      <c r="C83" s="11">
        <v>50</v>
      </c>
      <c r="D83" s="11" t="s">
        <v>30</v>
      </c>
      <c r="E83" s="11"/>
      <c r="F83" s="11">
        <v>1</v>
      </c>
      <c r="G83" s="29">
        <f>C83*F83</f>
        <v>50</v>
      </c>
      <c r="H83" s="30">
        <v>4</v>
      </c>
    </row>
    <row r="84" spans="2:8" ht="12.75">
      <c r="B84" s="2">
        <v>43356</v>
      </c>
      <c r="C84" s="1">
        <v>32.2</v>
      </c>
      <c r="D84" s="1" t="s">
        <v>46</v>
      </c>
      <c r="F84" s="1">
        <v>1</v>
      </c>
      <c r="G84" s="36">
        <f>C84*F84</f>
        <v>32.2</v>
      </c>
      <c r="H84" s="4">
        <v>1</v>
      </c>
    </row>
    <row r="85" spans="2:8" ht="12.75">
      <c r="B85" s="21">
        <v>43378</v>
      </c>
      <c r="C85" s="7">
        <v>66.27</v>
      </c>
      <c r="D85" s="7" t="s">
        <v>29</v>
      </c>
      <c r="E85" s="7"/>
      <c r="F85" s="7">
        <v>3.9</v>
      </c>
      <c r="G85" s="22">
        <f>C85*F85</f>
        <v>258.453</v>
      </c>
      <c r="H85" s="23">
        <v>2</v>
      </c>
    </row>
    <row r="86" spans="2:8" ht="12.75">
      <c r="B86" s="2">
        <v>43396</v>
      </c>
      <c r="C86" s="1">
        <v>30.81</v>
      </c>
      <c r="D86" s="1" t="s">
        <v>46</v>
      </c>
      <c r="F86" s="1">
        <v>1</v>
      </c>
      <c r="G86" s="35">
        <f>C86*F86</f>
        <v>30.81</v>
      </c>
      <c r="H86" s="4">
        <v>1</v>
      </c>
    </row>
    <row r="87" spans="2:8" ht="12.75">
      <c r="B87" s="25">
        <v>43398</v>
      </c>
      <c r="C87" s="9">
        <v>442.55</v>
      </c>
      <c r="D87" s="9" t="s">
        <v>43</v>
      </c>
      <c r="E87" s="9"/>
      <c r="F87" s="9">
        <v>1</v>
      </c>
      <c r="G87" s="26">
        <f>C87*F87</f>
        <v>442.55</v>
      </c>
      <c r="H87" s="27">
        <v>3</v>
      </c>
    </row>
    <row r="88" spans="2:8" ht="12.75">
      <c r="B88" s="2">
        <v>43407</v>
      </c>
      <c r="C88" s="1">
        <v>32.95</v>
      </c>
      <c r="D88" s="1" t="s">
        <v>46</v>
      </c>
      <c r="F88" s="1">
        <v>1</v>
      </c>
      <c r="G88" s="36">
        <f>C88*F88</f>
        <v>32.95</v>
      </c>
      <c r="H88" s="4">
        <v>1</v>
      </c>
    </row>
    <row r="89" spans="2:8" ht="12.75">
      <c r="B89" s="21">
        <v>43410</v>
      </c>
      <c r="C89" s="7">
        <v>49.51</v>
      </c>
      <c r="D89" s="7" t="s">
        <v>29</v>
      </c>
      <c r="E89" s="7"/>
      <c r="F89" s="7">
        <v>3.7</v>
      </c>
      <c r="G89" s="22">
        <f>C89*F89</f>
        <v>183.187</v>
      </c>
      <c r="H89" s="23">
        <v>2</v>
      </c>
    </row>
    <row r="90" spans="2:8" ht="12.75">
      <c r="B90" s="2">
        <v>43413</v>
      </c>
      <c r="C90" s="1">
        <v>32.32</v>
      </c>
      <c r="D90" s="1" t="s">
        <v>46</v>
      </c>
      <c r="F90" s="1">
        <v>1</v>
      </c>
      <c r="G90" s="36">
        <f>C90*F90</f>
        <v>32.32</v>
      </c>
      <c r="H90" s="4">
        <v>1</v>
      </c>
    </row>
    <row r="91" spans="2:8" ht="12.75">
      <c r="B91" s="21">
        <v>43440</v>
      </c>
      <c r="C91" s="7">
        <v>97.33</v>
      </c>
      <c r="D91" s="7" t="s">
        <v>29</v>
      </c>
      <c r="E91" s="7"/>
      <c r="F91" s="7">
        <v>3.9</v>
      </c>
      <c r="G91" s="22">
        <f>C91*F91</f>
        <v>379.587</v>
      </c>
      <c r="H91" s="23">
        <v>2</v>
      </c>
    </row>
    <row r="92" spans="2:8" ht="12.75">
      <c r="B92" s="2">
        <v>43450</v>
      </c>
      <c r="C92" s="1">
        <v>29.73</v>
      </c>
      <c r="D92" s="1" t="s">
        <v>46</v>
      </c>
      <c r="F92" s="1">
        <v>1</v>
      </c>
      <c r="G92" s="36">
        <f>C92*F92</f>
        <v>29.73</v>
      </c>
      <c r="H92" s="4">
        <v>1</v>
      </c>
    </row>
    <row r="93" spans="2:8" ht="12.75">
      <c r="B93" s="16">
        <v>43451</v>
      </c>
      <c r="C93" s="13">
        <v>1000</v>
      </c>
      <c r="D93" s="13" t="s">
        <v>31</v>
      </c>
      <c r="E93" s="13"/>
      <c r="F93" s="13">
        <v>1</v>
      </c>
      <c r="G93" s="17">
        <f>C93*F93</f>
        <v>1000</v>
      </c>
      <c r="H93" s="18">
        <v>6</v>
      </c>
    </row>
    <row r="94" spans="2:8" ht="12.75">
      <c r="B94" s="16">
        <v>43451</v>
      </c>
      <c r="C94" s="13">
        <v>150</v>
      </c>
      <c r="D94" s="13" t="s">
        <v>31</v>
      </c>
      <c r="E94" s="13"/>
      <c r="F94" s="13">
        <v>1</v>
      </c>
      <c r="G94" s="17">
        <f>C94*F94</f>
        <v>150</v>
      </c>
      <c r="H94" s="18">
        <v>6</v>
      </c>
    </row>
    <row r="95" spans="2:8" ht="12.75">
      <c r="B95" s="37">
        <v>43454</v>
      </c>
      <c r="C95" s="19">
        <v>381.68</v>
      </c>
      <c r="D95" s="19" t="s">
        <v>47</v>
      </c>
      <c r="E95" s="19"/>
      <c r="F95" s="19">
        <v>1</v>
      </c>
      <c r="G95" s="38">
        <f>C95*F95</f>
        <v>381.68</v>
      </c>
      <c r="H95" s="39">
        <v>7</v>
      </c>
    </row>
    <row r="96" spans="2:8" ht="14.25">
      <c r="B96" s="2">
        <v>43454</v>
      </c>
      <c r="C96" s="1">
        <v>100000</v>
      </c>
      <c r="D96" s="1" t="s">
        <v>48</v>
      </c>
      <c r="F96" s="40">
        <f>539.17/3000000</f>
        <v>0.0001797233333333333</v>
      </c>
      <c r="G96" s="35">
        <f>C96*F96</f>
        <v>17.97233333333333</v>
      </c>
      <c r="H96" s="4">
        <v>1</v>
      </c>
    </row>
    <row r="97" spans="2:8" ht="14.25">
      <c r="B97" s="28">
        <v>43467</v>
      </c>
      <c r="C97" s="11">
        <v>50</v>
      </c>
      <c r="D97" s="11" t="s">
        <v>30</v>
      </c>
      <c r="E97" s="11"/>
      <c r="F97" s="11">
        <v>1</v>
      </c>
      <c r="G97" s="29">
        <f>C97*F97</f>
        <v>50</v>
      </c>
      <c r="H97" s="30">
        <v>4</v>
      </c>
    </row>
    <row r="98" spans="2:8" ht="14.25">
      <c r="B98" s="28">
        <v>43468</v>
      </c>
      <c r="C98" s="11">
        <v>240</v>
      </c>
      <c r="D98" s="11" t="s">
        <v>30</v>
      </c>
      <c r="E98" s="11"/>
      <c r="F98" s="11">
        <v>1</v>
      </c>
      <c r="G98" s="29">
        <f>C98*F98</f>
        <v>240</v>
      </c>
      <c r="H98" s="30">
        <v>4</v>
      </c>
    </row>
    <row r="99" spans="2:8" ht="14.25">
      <c r="B99" s="21">
        <v>43468</v>
      </c>
      <c r="C99" s="7">
        <v>116.59</v>
      </c>
      <c r="D99" s="7" t="s">
        <v>49</v>
      </c>
      <c r="E99" s="7"/>
      <c r="F99" s="7">
        <v>3.75</v>
      </c>
      <c r="G99" s="22">
        <f>C99*F99</f>
        <v>437.21250000000003</v>
      </c>
      <c r="H99" s="23">
        <v>2</v>
      </c>
    </row>
    <row r="100" spans="2:8" ht="14.25">
      <c r="B100" s="28">
        <v>43475</v>
      </c>
      <c r="C100" s="11">
        <v>50</v>
      </c>
      <c r="D100" s="11" t="s">
        <v>30</v>
      </c>
      <c r="E100" s="11"/>
      <c r="F100" s="11">
        <v>1</v>
      </c>
      <c r="G100" s="29">
        <f>C100*F100</f>
        <v>50</v>
      </c>
      <c r="H100" s="30">
        <v>4</v>
      </c>
    </row>
    <row r="101" spans="2:8" ht="14.25">
      <c r="B101" s="28">
        <v>43479</v>
      </c>
      <c r="C101" s="11">
        <v>50</v>
      </c>
      <c r="D101" s="11" t="s">
        <v>30</v>
      </c>
      <c r="E101" s="11"/>
      <c r="F101" s="11">
        <v>1</v>
      </c>
      <c r="G101" s="29">
        <f>C101*F101</f>
        <v>50</v>
      </c>
      <c r="H101" s="30">
        <v>4</v>
      </c>
    </row>
    <row r="102" spans="2:8" ht="14.25">
      <c r="B102" s="28">
        <v>43480</v>
      </c>
      <c r="C102" s="11">
        <v>65</v>
      </c>
      <c r="D102" s="11" t="s">
        <v>30</v>
      </c>
      <c r="E102" s="11"/>
      <c r="F102" s="11">
        <v>1</v>
      </c>
      <c r="G102" s="29">
        <f>C102*F102</f>
        <v>65</v>
      </c>
      <c r="H102" s="30">
        <v>4</v>
      </c>
    </row>
    <row r="103" spans="2:8" ht="14.25">
      <c r="B103" s="28">
        <v>43487</v>
      </c>
      <c r="C103" s="11">
        <v>50</v>
      </c>
      <c r="D103" s="11" t="s">
        <v>30</v>
      </c>
      <c r="E103" s="11"/>
      <c r="F103" s="11">
        <v>1</v>
      </c>
      <c r="G103" s="29">
        <f>C103*F103</f>
        <v>50</v>
      </c>
      <c r="H103" s="30">
        <v>4</v>
      </c>
    </row>
    <row r="104" spans="2:8" ht="14.25">
      <c r="B104" s="28">
        <v>43493</v>
      </c>
      <c r="C104" s="11">
        <v>65</v>
      </c>
      <c r="D104" s="11" t="s">
        <v>30</v>
      </c>
      <c r="E104" s="11"/>
      <c r="F104" s="11">
        <v>1</v>
      </c>
      <c r="G104" s="29">
        <f>C104*F104</f>
        <v>65</v>
      </c>
      <c r="H104" s="30">
        <v>4</v>
      </c>
    </row>
    <row r="105" spans="2:8" ht="14.25">
      <c r="B105" s="31">
        <v>43494</v>
      </c>
      <c r="C105" s="5">
        <v>8.2</v>
      </c>
      <c r="D105" s="5" t="s">
        <v>42</v>
      </c>
      <c r="E105" s="5"/>
      <c r="F105" s="5">
        <v>1</v>
      </c>
      <c r="G105" s="32">
        <f>C105*F105</f>
        <v>8.2</v>
      </c>
      <c r="H105" s="33">
        <v>5</v>
      </c>
    </row>
    <row r="106" spans="2:8" ht="14.25">
      <c r="B106" s="28">
        <v>43502</v>
      </c>
      <c r="C106" s="11">
        <v>65</v>
      </c>
      <c r="D106" s="11" t="s">
        <v>30</v>
      </c>
      <c r="E106" s="11"/>
      <c r="F106" s="11">
        <v>1</v>
      </c>
      <c r="G106" s="29">
        <f>C106*F106</f>
        <v>65</v>
      </c>
      <c r="H106" s="30">
        <v>4</v>
      </c>
    </row>
    <row r="107" spans="2:8" ht="14.25">
      <c r="B107" s="21">
        <v>43502</v>
      </c>
      <c r="C107" s="7">
        <v>68.05</v>
      </c>
      <c r="D107" s="7" t="s">
        <v>29</v>
      </c>
      <c r="E107" s="7"/>
      <c r="F107" s="7">
        <v>3.7</v>
      </c>
      <c r="G107" s="22">
        <f>C107*F107</f>
        <v>251.785</v>
      </c>
      <c r="H107" s="23">
        <v>2</v>
      </c>
    </row>
    <row r="108" spans="2:8" ht="12.75">
      <c r="B108" s="28">
        <v>43504</v>
      </c>
      <c r="C108" s="11">
        <v>65</v>
      </c>
      <c r="D108" s="11" t="s">
        <v>30</v>
      </c>
      <c r="E108" s="11"/>
      <c r="F108" s="11">
        <v>1</v>
      </c>
      <c r="G108" s="29">
        <f>C108*F108</f>
        <v>65</v>
      </c>
      <c r="H108" s="30">
        <v>4</v>
      </c>
    </row>
    <row r="109" spans="2:8" ht="12.75">
      <c r="B109" s="2">
        <v>43510</v>
      </c>
      <c r="C109" s="1">
        <v>8</v>
      </c>
      <c r="D109" s="1" t="s">
        <v>50</v>
      </c>
      <c r="F109" s="1">
        <v>3.7</v>
      </c>
      <c r="G109" s="35">
        <f>C109*F109</f>
        <v>29.6</v>
      </c>
      <c r="H109" s="4">
        <v>1</v>
      </c>
    </row>
    <row r="110" spans="2:8" ht="12.75">
      <c r="B110" s="28">
        <v>43510</v>
      </c>
      <c r="C110" s="11">
        <v>65</v>
      </c>
      <c r="D110" s="11" t="s">
        <v>30</v>
      </c>
      <c r="E110" s="11"/>
      <c r="F110" s="11">
        <v>1</v>
      </c>
      <c r="G110" s="29">
        <f>C110*F110</f>
        <v>65</v>
      </c>
      <c r="H110" s="30">
        <v>4</v>
      </c>
    </row>
    <row r="111" spans="2:8" ht="12.75">
      <c r="B111" s="25">
        <v>43511</v>
      </c>
      <c r="C111" s="9">
        <v>119.77</v>
      </c>
      <c r="D111" s="9" t="s">
        <v>51</v>
      </c>
      <c r="E111" s="9"/>
      <c r="F111" s="9">
        <v>4.19</v>
      </c>
      <c r="G111" s="26">
        <f>C111*F111</f>
        <v>501.83630000000005</v>
      </c>
      <c r="H111" s="27">
        <v>3</v>
      </c>
    </row>
    <row r="112" spans="2:8" ht="12.75">
      <c r="B112" s="28">
        <v>43512</v>
      </c>
      <c r="C112" s="11">
        <v>65</v>
      </c>
      <c r="D112" s="11" t="s">
        <v>30</v>
      </c>
      <c r="E112" s="11"/>
      <c r="F112" s="11">
        <v>1</v>
      </c>
      <c r="G112" s="29">
        <f>C112*F112</f>
        <v>65</v>
      </c>
      <c r="H112" s="30">
        <v>4</v>
      </c>
    </row>
    <row r="113" spans="2:8" ht="12.75">
      <c r="B113" s="28">
        <v>43513</v>
      </c>
      <c r="C113" s="11">
        <v>65</v>
      </c>
      <c r="D113" s="11" t="s">
        <v>30</v>
      </c>
      <c r="E113" s="11"/>
      <c r="F113" s="11">
        <v>1</v>
      </c>
      <c r="G113" s="29">
        <f>C113*F113</f>
        <v>65</v>
      </c>
      <c r="H113" s="30">
        <v>4</v>
      </c>
    </row>
    <row r="114" spans="2:8" ht="12.75">
      <c r="B114" s="31">
        <v>43524</v>
      </c>
      <c r="C114" s="5">
        <v>5.44</v>
      </c>
      <c r="D114" s="5" t="s">
        <v>42</v>
      </c>
      <c r="E114" s="5"/>
      <c r="F114" s="5">
        <v>1</v>
      </c>
      <c r="G114" s="32">
        <f>C114*F114</f>
        <v>5.44</v>
      </c>
      <c r="H114" s="33">
        <v>5</v>
      </c>
    </row>
    <row r="115" spans="2:8" ht="12.75">
      <c r="B115" s="28">
        <v>43526</v>
      </c>
      <c r="C115" s="11">
        <v>65</v>
      </c>
      <c r="D115" s="11" t="s">
        <v>30</v>
      </c>
      <c r="E115" s="11"/>
      <c r="F115" s="11">
        <v>1</v>
      </c>
      <c r="G115" s="29">
        <f>C115*F115</f>
        <v>65</v>
      </c>
      <c r="H115" s="30">
        <v>4</v>
      </c>
    </row>
    <row r="116" spans="2:8" ht="12.75">
      <c r="B116" s="21">
        <v>43530</v>
      </c>
      <c r="C116" s="7">
        <v>66.15</v>
      </c>
      <c r="D116" s="7" t="s">
        <v>29</v>
      </c>
      <c r="E116" s="7"/>
      <c r="F116" s="7">
        <v>3.88</v>
      </c>
      <c r="G116" s="22">
        <f>C116*F116</f>
        <v>256.66200000000003</v>
      </c>
      <c r="H116" s="23">
        <v>2</v>
      </c>
    </row>
    <row r="117" spans="2:8" ht="12.75">
      <c r="B117" s="28">
        <v>43531</v>
      </c>
      <c r="C117" s="11">
        <v>50</v>
      </c>
      <c r="D117" s="11" t="s">
        <v>30</v>
      </c>
      <c r="E117" s="11"/>
      <c r="F117" s="11">
        <v>1</v>
      </c>
      <c r="G117" s="29">
        <f>C117*F117</f>
        <v>50</v>
      </c>
      <c r="H117" s="30">
        <v>4</v>
      </c>
    </row>
    <row r="118" spans="2:8" ht="12.75">
      <c r="B118" s="28">
        <v>43532</v>
      </c>
      <c r="C118" s="11">
        <v>50</v>
      </c>
      <c r="D118" s="11" t="s">
        <v>30</v>
      </c>
      <c r="E118" s="11"/>
      <c r="F118" s="11">
        <v>1</v>
      </c>
      <c r="G118" s="29">
        <f>C118*F118</f>
        <v>50</v>
      </c>
      <c r="H118" s="30">
        <v>4</v>
      </c>
    </row>
    <row r="119" spans="2:8" ht="12.75">
      <c r="B119" s="28">
        <v>43542</v>
      </c>
      <c r="C119" s="11">
        <v>65</v>
      </c>
      <c r="D119" s="11" t="s">
        <v>30</v>
      </c>
      <c r="E119" s="11"/>
      <c r="F119" s="11">
        <v>1</v>
      </c>
      <c r="G119" s="29">
        <v>65</v>
      </c>
      <c r="H119" s="30">
        <v>4</v>
      </c>
    </row>
    <row r="120" spans="2:8" ht="12.75">
      <c r="B120" s="16">
        <v>43549</v>
      </c>
      <c r="C120" s="13">
        <v>50</v>
      </c>
      <c r="D120" s="13" t="s">
        <v>31</v>
      </c>
      <c r="E120" s="13"/>
      <c r="F120" s="13">
        <v>1</v>
      </c>
      <c r="G120" s="17">
        <f>C120*F120</f>
        <v>50</v>
      </c>
      <c r="H120" s="18">
        <v>6</v>
      </c>
    </row>
    <row r="121" spans="2:8" ht="12.75">
      <c r="B121" s="28">
        <v>43554</v>
      </c>
      <c r="C121" s="11">
        <v>50</v>
      </c>
      <c r="D121" s="11" t="s">
        <v>30</v>
      </c>
      <c r="E121" s="11"/>
      <c r="F121" s="11">
        <v>1</v>
      </c>
      <c r="G121" s="29">
        <v>50</v>
      </c>
      <c r="H121" s="30">
        <v>4</v>
      </c>
    </row>
    <row r="122" spans="2:8" ht="12.75">
      <c r="B122" s="21">
        <v>43559</v>
      </c>
      <c r="C122" s="7">
        <v>50.09</v>
      </c>
      <c r="D122" s="7" t="s">
        <v>29</v>
      </c>
      <c r="E122" s="7"/>
      <c r="F122" s="7">
        <v>3.88</v>
      </c>
      <c r="G122" s="22">
        <f>C122*F122</f>
        <v>194.3492</v>
      </c>
      <c r="H122" s="23">
        <v>2</v>
      </c>
    </row>
    <row r="123" spans="2:8" ht="12.75">
      <c r="B123" s="25">
        <v>43566</v>
      </c>
      <c r="C123" s="9">
        <v>66.55</v>
      </c>
      <c r="D123" s="9" t="s">
        <v>51</v>
      </c>
      <c r="E123" s="9"/>
      <c r="F123" s="9">
        <v>4.4</v>
      </c>
      <c r="G123" s="26">
        <f>C123*F123</f>
        <v>292.82</v>
      </c>
      <c r="H123" s="27">
        <v>3</v>
      </c>
    </row>
    <row r="124" spans="2:8" ht="12.75">
      <c r="B124" s="28">
        <v>43580</v>
      </c>
      <c r="C124" s="11">
        <v>65</v>
      </c>
      <c r="D124" s="11" t="s">
        <v>30</v>
      </c>
      <c r="E124" s="11"/>
      <c r="F124" s="11">
        <v>1</v>
      </c>
      <c r="G124" s="29">
        <f>C124*F124</f>
        <v>65</v>
      </c>
      <c r="H124" s="30">
        <v>4</v>
      </c>
    </row>
    <row r="125" spans="1:8" ht="12.75">
      <c r="A125" s="11"/>
      <c r="B125" s="28">
        <v>43583</v>
      </c>
      <c r="C125" s="11">
        <v>20</v>
      </c>
      <c r="D125" s="11" t="s">
        <v>52</v>
      </c>
      <c r="E125" s="11"/>
      <c r="F125" s="11">
        <v>1</v>
      </c>
      <c r="G125" s="29">
        <f>C125*F125</f>
        <v>20</v>
      </c>
      <c r="H125" s="30">
        <v>4</v>
      </c>
    </row>
    <row r="126" spans="1:8" ht="12.75">
      <c r="A126" s="11"/>
      <c r="B126" s="28">
        <v>43585</v>
      </c>
      <c r="C126" s="11">
        <v>65</v>
      </c>
      <c r="D126" s="11" t="s">
        <v>30</v>
      </c>
      <c r="E126" s="11"/>
      <c r="F126" s="11">
        <v>1</v>
      </c>
      <c r="G126" s="29">
        <f>C126*F126</f>
        <v>65</v>
      </c>
      <c r="H126" s="30">
        <v>4</v>
      </c>
    </row>
    <row r="127" spans="2:8" ht="12.75">
      <c r="B127" s="16">
        <v>43588</v>
      </c>
      <c r="C127" s="13">
        <v>94.61</v>
      </c>
      <c r="D127" s="13" t="s">
        <v>31</v>
      </c>
      <c r="E127" s="13"/>
      <c r="F127" s="13">
        <v>1</v>
      </c>
      <c r="G127" s="17">
        <f>C127*F127</f>
        <v>94.61</v>
      </c>
      <c r="H127" s="18">
        <v>6</v>
      </c>
    </row>
    <row r="128" spans="2:8" ht="12.75">
      <c r="B128" s="28">
        <v>43590</v>
      </c>
      <c r="C128" s="11">
        <v>65</v>
      </c>
      <c r="D128" s="11" t="s">
        <v>30</v>
      </c>
      <c r="E128" s="11"/>
      <c r="F128" s="11">
        <v>1</v>
      </c>
      <c r="G128" s="29">
        <f>C128*F128</f>
        <v>65</v>
      </c>
      <c r="H128" s="30">
        <v>4</v>
      </c>
    </row>
    <row r="129" spans="7:8" ht="12.75">
      <c r="G129" s="29">
        <f>C129*F129</f>
        <v>0</v>
      </c>
      <c r="H129" s="4"/>
    </row>
    <row r="130" ht="12.75">
      <c r="G130" s="29">
        <f>C130*F130</f>
        <v>0</v>
      </c>
    </row>
    <row r="131" ht="12.75">
      <c r="G131" s="29">
        <f>C131*F131</f>
        <v>0</v>
      </c>
    </row>
    <row r="132" ht="12.75">
      <c r="G132" s="29">
        <f>C132*F132</f>
        <v>0</v>
      </c>
    </row>
    <row r="133" ht="12.75">
      <c r="G133" s="29">
        <f>C133*F133</f>
        <v>0</v>
      </c>
    </row>
    <row r="134" ht="12.75">
      <c r="G134" s="29">
        <f>C134*F134</f>
        <v>0</v>
      </c>
    </row>
  </sheetData>
  <sheetProtection selectLockedCells="1" selectUnlockedCells="1"/>
  <printOptions/>
  <pageMargins left="0" right="0" top="0.1388888888888889" bottom="0.1388888888888889" header="0" footer="0"/>
  <pageSetup firstPageNumber="1" useFirstPageNumber="1" horizontalDpi="300" verticalDpi="300" orientation="portrait" paperSize="9"/>
  <headerFooter alignWithMargins="0">
    <oddHeader>&amp;C&amp;10&amp;A</oddHeader>
    <oddFooter>&amp;C&amp;10Page &amp;P</oddFooter>
  </headerFooter>
  <legacyDrawing r:id="rId2"/>
</worksheet>
</file>

<file path=xl/worksheets/sheet2.xml><?xml version="1.0" encoding="utf-8"?>
<worksheet xmlns="http://schemas.openxmlformats.org/spreadsheetml/2006/main" xmlns:r="http://schemas.openxmlformats.org/officeDocument/2006/relationships">
  <dimension ref="B1:AC52"/>
  <sheetViews>
    <sheetView zoomScale="95" zoomScaleNormal="95" workbookViewId="0" topLeftCell="A1">
      <pane ySplit="1" topLeftCell="A41" activePane="bottomLeft" state="frozen"/>
      <selection pane="topLeft" activeCell="A1" sqref="A1"/>
      <selection pane="bottomLeft" activeCell="A60" sqref="A60"/>
    </sheetView>
  </sheetViews>
  <sheetFormatPr defaultColWidth="11.00390625" defaultRowHeight="14.25"/>
  <cols>
    <col min="1" max="1" width="1.4921875" style="41" customWidth="1"/>
    <col min="2" max="2" width="14.125" style="42" customWidth="1"/>
    <col min="3" max="3" width="6.25390625" style="43" customWidth="1"/>
    <col min="4" max="4" width="14.25390625" style="44" customWidth="1"/>
    <col min="5" max="5" width="10.125" style="44" customWidth="1"/>
    <col min="6" max="7" width="12.75390625" style="44" customWidth="1"/>
    <col min="8" max="9" width="11.75390625" style="44" customWidth="1"/>
    <col min="10" max="10" width="13.125" style="44" customWidth="1"/>
    <col min="11" max="12" width="11.75390625" style="44" customWidth="1"/>
    <col min="13" max="13" width="12.125" style="44" customWidth="1"/>
    <col min="14" max="14" width="10.375" style="45" customWidth="1"/>
    <col min="15" max="15" width="5.00390625" style="46" customWidth="1"/>
    <col min="16" max="16" width="8.375" style="46" customWidth="1"/>
    <col min="17" max="17" width="10.25390625" style="46" customWidth="1"/>
    <col min="18" max="18" width="7.75390625" style="46" customWidth="1"/>
    <col min="19" max="19" width="12.00390625" style="46" customWidth="1"/>
    <col min="20" max="20" width="10.125" style="46" customWidth="1"/>
    <col min="21" max="21" width="11.25390625" style="46" customWidth="1"/>
    <col min="22" max="23" width="13.25390625" style="46" customWidth="1"/>
    <col min="24" max="24" width="11.375" style="46" customWidth="1"/>
    <col min="25" max="25" width="12.25390625" style="46" customWidth="1"/>
    <col min="26" max="26" width="10.625" style="13" customWidth="1"/>
    <col min="27" max="27" width="14.50390625" style="34" customWidth="1"/>
    <col min="28" max="28" width="14.50390625" style="41" customWidth="1"/>
    <col min="29" max="29" width="13.125" style="41" customWidth="1"/>
    <col min="30" max="16384" width="10.625" style="41" customWidth="1"/>
  </cols>
  <sheetData>
    <row r="1" spans="2:27" s="47" customFormat="1" ht="27.75" customHeight="1">
      <c r="B1" s="48" t="s">
        <v>53</v>
      </c>
      <c r="C1" s="48" t="s">
        <v>54</v>
      </c>
      <c r="D1" s="49" t="s">
        <v>55</v>
      </c>
      <c r="E1" s="49" t="s">
        <v>56</v>
      </c>
      <c r="F1" s="49" t="s">
        <v>57</v>
      </c>
      <c r="G1" s="49" t="s">
        <v>58</v>
      </c>
      <c r="H1" s="49" t="s">
        <v>59</v>
      </c>
      <c r="I1" s="49" t="s">
        <v>60</v>
      </c>
      <c r="J1" s="49" t="s">
        <v>61</v>
      </c>
      <c r="K1" s="49" t="s">
        <v>19</v>
      </c>
      <c r="L1" s="49" t="s">
        <v>62</v>
      </c>
      <c r="M1" s="49" t="s">
        <v>63</v>
      </c>
      <c r="N1" s="50"/>
      <c r="O1" s="51" t="s">
        <v>64</v>
      </c>
      <c r="P1" s="51" t="s">
        <v>65</v>
      </c>
      <c r="Q1" s="51" t="s">
        <v>66</v>
      </c>
      <c r="R1" s="51" t="s">
        <v>67</v>
      </c>
      <c r="S1" s="51" t="s">
        <v>68</v>
      </c>
      <c r="T1" s="51" t="s">
        <v>69</v>
      </c>
      <c r="U1" s="51" t="s">
        <v>70</v>
      </c>
      <c r="V1" s="51" t="s">
        <v>16</v>
      </c>
      <c r="W1" s="51" t="s">
        <v>71</v>
      </c>
      <c r="X1" s="51" t="s">
        <v>72</v>
      </c>
      <c r="Y1" s="51" t="s">
        <v>73</v>
      </c>
      <c r="Z1" s="52" t="s">
        <v>74</v>
      </c>
      <c r="AA1" s="53"/>
    </row>
    <row r="2" spans="2:28" s="1" customFormat="1" ht="12.75">
      <c r="B2" s="43" t="s">
        <v>75</v>
      </c>
      <c r="C2" s="43">
        <v>33</v>
      </c>
      <c r="D2" s="54">
        <v>3758.49</v>
      </c>
      <c r="E2" s="55">
        <f>D2/C2</f>
        <v>113.89363636363636</v>
      </c>
      <c r="F2" s="55">
        <v>930.33</v>
      </c>
      <c r="G2" s="55">
        <v>824.28</v>
      </c>
      <c r="H2" s="55">
        <v>1667.23</v>
      </c>
      <c r="I2" s="55">
        <v>100</v>
      </c>
      <c r="J2" s="55">
        <v>143.15</v>
      </c>
      <c r="K2" s="55">
        <v>93.5</v>
      </c>
      <c r="L2" s="55"/>
      <c r="M2" s="55"/>
      <c r="N2" s="56"/>
      <c r="O2" s="57">
        <v>10</v>
      </c>
      <c r="P2" s="57">
        <v>5</v>
      </c>
      <c r="Q2" s="57"/>
      <c r="R2" s="57">
        <v>7</v>
      </c>
      <c r="S2" s="57">
        <v>8</v>
      </c>
      <c r="T2" s="57">
        <v>1</v>
      </c>
      <c r="U2" s="57">
        <v>2</v>
      </c>
      <c r="V2" s="57">
        <v>0</v>
      </c>
      <c r="W2" s="57">
        <v>0</v>
      </c>
      <c r="X2" s="57">
        <v>13</v>
      </c>
      <c r="Y2" s="57">
        <v>20</v>
      </c>
      <c r="Z2" s="13">
        <v>3</v>
      </c>
      <c r="AA2" s="34"/>
      <c r="AB2" s="41"/>
    </row>
    <row r="3" spans="2:29" ht="12.75">
      <c r="B3" s="43" t="s">
        <v>76</v>
      </c>
      <c r="C3" s="43">
        <v>30</v>
      </c>
      <c r="D3" s="54">
        <v>1674.25</v>
      </c>
      <c r="E3" s="55">
        <f>D3/C3</f>
        <v>55.80833333333333</v>
      </c>
      <c r="F3" s="55">
        <v>285</v>
      </c>
      <c r="G3" s="55">
        <v>641</v>
      </c>
      <c r="H3" s="55">
        <v>517.25</v>
      </c>
      <c r="I3" s="55">
        <v>15</v>
      </c>
      <c r="J3" s="55">
        <v>111</v>
      </c>
      <c r="K3" s="55">
        <v>105</v>
      </c>
      <c r="L3" s="55"/>
      <c r="M3" s="55"/>
      <c r="N3" s="56"/>
      <c r="O3" s="57">
        <v>12</v>
      </c>
      <c r="P3" s="57">
        <v>1</v>
      </c>
      <c r="Q3" s="57"/>
      <c r="R3" s="57">
        <v>0</v>
      </c>
      <c r="S3" s="57">
        <v>5</v>
      </c>
      <c r="T3" s="57">
        <v>0</v>
      </c>
      <c r="U3" s="57">
        <v>1</v>
      </c>
      <c r="V3" s="57">
        <v>0</v>
      </c>
      <c r="W3" s="57">
        <v>11</v>
      </c>
      <c r="X3" s="57">
        <v>5</v>
      </c>
      <c r="Y3" s="57">
        <v>25</v>
      </c>
      <c r="Z3" s="13">
        <v>12</v>
      </c>
      <c r="AC3" s="42"/>
    </row>
    <row r="4" spans="2:27" s="1" customFormat="1" ht="14.25">
      <c r="B4" s="43" t="s">
        <v>77</v>
      </c>
      <c r="C4" s="43">
        <v>31</v>
      </c>
      <c r="D4" s="54">
        <v>2382.72</v>
      </c>
      <c r="E4" s="55">
        <f>D4/C4</f>
        <v>76.86193548387097</v>
      </c>
      <c r="F4" s="55">
        <v>669.53</v>
      </c>
      <c r="G4" s="55">
        <v>657.41</v>
      </c>
      <c r="H4" s="55">
        <v>648.06</v>
      </c>
      <c r="I4" s="55">
        <v>23.7</v>
      </c>
      <c r="J4" s="55">
        <v>310.27</v>
      </c>
      <c r="K4" s="55">
        <v>73.77</v>
      </c>
      <c r="L4" s="55"/>
      <c r="M4" s="55"/>
      <c r="N4" s="56"/>
      <c r="O4" s="57">
        <v>3</v>
      </c>
      <c r="P4" s="57">
        <v>5</v>
      </c>
      <c r="Q4" s="57"/>
      <c r="R4" s="57">
        <v>0</v>
      </c>
      <c r="S4" s="57">
        <v>6</v>
      </c>
      <c r="T4" s="57">
        <v>0</v>
      </c>
      <c r="U4" s="57">
        <v>1</v>
      </c>
      <c r="V4" s="57">
        <v>0</v>
      </c>
      <c r="W4" s="57">
        <v>15</v>
      </c>
      <c r="X4" s="57">
        <v>10</v>
      </c>
      <c r="Y4" s="57">
        <v>21</v>
      </c>
      <c r="Z4" s="13">
        <v>2</v>
      </c>
      <c r="AA4" s="34"/>
    </row>
    <row r="5" spans="2:28" ht="14.25">
      <c r="B5" s="43" t="s">
        <v>78</v>
      </c>
      <c r="C5" s="43">
        <v>31</v>
      </c>
      <c r="D5" s="54">
        <v>1865.63</v>
      </c>
      <c r="E5" s="55">
        <f>D5/C5</f>
        <v>60.18161290322581</v>
      </c>
      <c r="F5" s="55">
        <v>656.8</v>
      </c>
      <c r="G5" s="55">
        <v>790.07685</v>
      </c>
      <c r="H5" s="55">
        <v>0</v>
      </c>
      <c r="I5" s="55">
        <v>273.2</v>
      </c>
      <c r="J5" s="55">
        <v>133.95</v>
      </c>
      <c r="K5" s="55">
        <v>11.6</v>
      </c>
      <c r="L5" s="55"/>
      <c r="M5" s="55"/>
      <c r="N5" s="56"/>
      <c r="O5" s="57">
        <v>0</v>
      </c>
      <c r="P5" s="57">
        <v>21</v>
      </c>
      <c r="Q5" s="57">
        <v>5</v>
      </c>
      <c r="R5" s="57">
        <v>4</v>
      </c>
      <c r="S5" s="57">
        <v>1</v>
      </c>
      <c r="T5" s="57">
        <v>0</v>
      </c>
      <c r="U5" s="57">
        <v>0</v>
      </c>
      <c r="V5" s="57">
        <v>0</v>
      </c>
      <c r="W5" s="57">
        <v>0</v>
      </c>
      <c r="X5" s="57">
        <v>14</v>
      </c>
      <c r="Y5" s="57">
        <v>17</v>
      </c>
      <c r="Z5" s="13">
        <v>21</v>
      </c>
      <c r="AB5" s="1"/>
    </row>
    <row r="6" spans="2:26" ht="14.25">
      <c r="B6" s="43" t="s">
        <v>79</v>
      </c>
      <c r="C6" s="43">
        <v>29</v>
      </c>
      <c r="D6" s="54">
        <f>SUM(F6:K6)</f>
        <v>1614.0100000000002</v>
      </c>
      <c r="E6" s="55">
        <f>D6/C6</f>
        <v>55.655517241379314</v>
      </c>
      <c r="F6" s="55">
        <v>505</v>
      </c>
      <c r="G6" s="55">
        <v>908.86</v>
      </c>
      <c r="H6" s="55">
        <v>84.73</v>
      </c>
      <c r="I6" s="55">
        <v>87</v>
      </c>
      <c r="J6" s="55">
        <v>0</v>
      </c>
      <c r="K6" s="55">
        <v>28.42</v>
      </c>
      <c r="L6" s="55"/>
      <c r="M6" s="55"/>
      <c r="N6" s="56"/>
      <c r="O6" s="57">
        <v>0</v>
      </c>
      <c r="P6" s="57">
        <v>9</v>
      </c>
      <c r="Q6" s="57">
        <v>3</v>
      </c>
      <c r="R6" s="57">
        <v>16</v>
      </c>
      <c r="S6" s="57">
        <v>1</v>
      </c>
      <c r="T6" s="57">
        <v>0</v>
      </c>
      <c r="U6" s="57">
        <v>0</v>
      </c>
      <c r="V6" s="57">
        <v>0</v>
      </c>
      <c r="W6" s="57">
        <v>0</v>
      </c>
      <c r="X6" s="57">
        <v>9</v>
      </c>
      <c r="Y6" s="57">
        <v>20</v>
      </c>
      <c r="Z6" s="13">
        <v>23</v>
      </c>
    </row>
    <row r="7" spans="2:27" s="1" customFormat="1" ht="14.25">
      <c r="B7" s="43" t="s">
        <v>80</v>
      </c>
      <c r="C7" s="43">
        <v>31</v>
      </c>
      <c r="D7" s="54">
        <v>1987.12</v>
      </c>
      <c r="E7" s="55">
        <f>D7/C7</f>
        <v>64.10064516129032</v>
      </c>
      <c r="F7" s="55">
        <v>458.38</v>
      </c>
      <c r="G7" s="55">
        <v>746.82</v>
      </c>
      <c r="H7" s="55">
        <v>230.49</v>
      </c>
      <c r="I7" s="55">
        <v>382.37</v>
      </c>
      <c r="J7" s="55">
        <v>104.23</v>
      </c>
      <c r="K7" s="55">
        <v>64.83</v>
      </c>
      <c r="L7" s="55"/>
      <c r="M7" s="55"/>
      <c r="N7" s="56"/>
      <c r="O7" s="57">
        <v>0</v>
      </c>
      <c r="P7" s="57">
        <v>4</v>
      </c>
      <c r="Q7" s="57">
        <v>3</v>
      </c>
      <c r="R7" s="57">
        <v>22</v>
      </c>
      <c r="S7" s="57">
        <v>2</v>
      </c>
      <c r="T7" s="57">
        <v>0</v>
      </c>
      <c r="U7" s="57">
        <v>0</v>
      </c>
      <c r="V7" s="57">
        <v>0</v>
      </c>
      <c r="W7" s="57">
        <v>0</v>
      </c>
      <c r="X7" s="57">
        <v>6</v>
      </c>
      <c r="Y7" s="57">
        <v>25</v>
      </c>
      <c r="Z7" s="13">
        <v>32</v>
      </c>
      <c r="AA7" s="34"/>
    </row>
    <row r="8" spans="2:26" ht="14.25">
      <c r="B8" s="43" t="s">
        <v>81</v>
      </c>
      <c r="C8" s="43">
        <v>30</v>
      </c>
      <c r="D8" s="54">
        <v>3194.31</v>
      </c>
      <c r="E8" s="55">
        <f>D8/C8</f>
        <v>106.477</v>
      </c>
      <c r="F8" s="55">
        <v>483.22</v>
      </c>
      <c r="G8" s="55">
        <v>440</v>
      </c>
      <c r="H8" s="55">
        <v>125.03</v>
      </c>
      <c r="I8" s="55">
        <v>1801.65</v>
      </c>
      <c r="J8" s="55">
        <v>276.36</v>
      </c>
      <c r="K8" s="55">
        <v>68.05</v>
      </c>
      <c r="L8" s="55"/>
      <c r="M8" s="55"/>
      <c r="N8" s="56"/>
      <c r="O8" s="57">
        <v>0</v>
      </c>
      <c r="P8" s="57">
        <v>2</v>
      </c>
      <c r="Q8" s="57">
        <v>2</v>
      </c>
      <c r="R8" s="57">
        <v>0</v>
      </c>
      <c r="S8" s="57">
        <v>10</v>
      </c>
      <c r="T8" s="57">
        <v>0</v>
      </c>
      <c r="U8" s="57">
        <v>1</v>
      </c>
      <c r="V8" s="57">
        <v>0</v>
      </c>
      <c r="W8" s="57">
        <v>15</v>
      </c>
      <c r="X8" s="57">
        <v>10</v>
      </c>
      <c r="Y8" s="57">
        <v>20</v>
      </c>
      <c r="Z8" s="13">
        <v>11</v>
      </c>
    </row>
    <row r="9" spans="2:26" ht="14.25">
      <c r="B9" s="43" t="s">
        <v>82</v>
      </c>
      <c r="C9" s="43">
        <v>31</v>
      </c>
      <c r="D9" s="54">
        <v>2785.04</v>
      </c>
      <c r="E9" s="55">
        <f>D9/C9</f>
        <v>89.84</v>
      </c>
      <c r="F9" s="55">
        <v>811.2</v>
      </c>
      <c r="G9" s="55">
        <v>465.98</v>
      </c>
      <c r="H9" s="55">
        <v>380.13</v>
      </c>
      <c r="I9" s="55">
        <v>679.08</v>
      </c>
      <c r="J9" s="55">
        <v>238.8</v>
      </c>
      <c r="K9" s="55">
        <v>209.85</v>
      </c>
      <c r="L9" s="55"/>
      <c r="M9" s="55"/>
      <c r="N9" s="56"/>
      <c r="O9" s="57">
        <v>0</v>
      </c>
      <c r="P9" s="57">
        <v>2</v>
      </c>
      <c r="Q9" s="57">
        <v>1</v>
      </c>
      <c r="R9" s="57"/>
      <c r="S9" s="57">
        <v>25</v>
      </c>
      <c r="T9" s="57"/>
      <c r="U9" s="57">
        <v>3</v>
      </c>
      <c r="V9" s="57">
        <v>0</v>
      </c>
      <c r="W9" s="57">
        <v>0</v>
      </c>
      <c r="X9" s="57">
        <v>26</v>
      </c>
      <c r="Y9" s="57">
        <v>5</v>
      </c>
      <c r="Z9" s="13">
        <v>1</v>
      </c>
    </row>
    <row r="10" spans="2:26" ht="12.75">
      <c r="B10" s="43" t="s">
        <v>83</v>
      </c>
      <c r="C10" s="43">
        <v>30</v>
      </c>
      <c r="D10" s="54">
        <v>2728.36</v>
      </c>
      <c r="E10" s="55">
        <f>D10/C10</f>
        <v>90.94533333333334</v>
      </c>
      <c r="F10" s="55">
        <v>501.2</v>
      </c>
      <c r="G10" s="55">
        <v>466.75</v>
      </c>
      <c r="H10" s="55">
        <v>486.7</v>
      </c>
      <c r="I10" s="55">
        <v>907.72</v>
      </c>
      <c r="J10" s="55">
        <v>330.09</v>
      </c>
      <c r="K10" s="55">
        <v>35.91</v>
      </c>
      <c r="L10" s="55"/>
      <c r="M10" s="55"/>
      <c r="N10" s="56"/>
      <c r="O10" s="57">
        <v>0</v>
      </c>
      <c r="P10" s="57">
        <v>2</v>
      </c>
      <c r="Q10" s="57">
        <v>0</v>
      </c>
      <c r="R10" s="57">
        <v>0</v>
      </c>
      <c r="S10" s="57">
        <v>26</v>
      </c>
      <c r="T10" s="57">
        <v>0</v>
      </c>
      <c r="U10" s="57">
        <v>2</v>
      </c>
      <c r="V10" s="57">
        <v>0</v>
      </c>
      <c r="W10" s="57">
        <v>0</v>
      </c>
      <c r="X10" s="57">
        <v>15</v>
      </c>
      <c r="Y10" s="57">
        <v>15</v>
      </c>
      <c r="Z10" s="13">
        <v>4</v>
      </c>
    </row>
    <row r="11" spans="2:26" ht="14.25">
      <c r="B11" s="43" t="s">
        <v>84</v>
      </c>
      <c r="C11" s="43">
        <v>31</v>
      </c>
      <c r="D11" s="54">
        <v>2487.539</v>
      </c>
      <c r="E11" s="55">
        <f>D11/C11</f>
        <v>80.2431935483871</v>
      </c>
      <c r="F11" s="55">
        <v>607.5</v>
      </c>
      <c r="G11" s="55">
        <v>430.98</v>
      </c>
      <c r="H11" s="55">
        <v>1001.35</v>
      </c>
      <c r="I11" s="55">
        <v>88.8</v>
      </c>
      <c r="J11" s="55">
        <v>171.03</v>
      </c>
      <c r="K11" s="55">
        <v>187.89</v>
      </c>
      <c r="L11" s="55"/>
      <c r="M11" s="55"/>
      <c r="N11" s="56"/>
      <c r="O11" s="57">
        <v>0</v>
      </c>
      <c r="P11" s="57">
        <v>0</v>
      </c>
      <c r="Q11" s="57">
        <v>0</v>
      </c>
      <c r="R11" s="57">
        <v>0</v>
      </c>
      <c r="S11" s="57">
        <v>22</v>
      </c>
      <c r="T11" s="57">
        <v>0</v>
      </c>
      <c r="U11" s="57">
        <v>9</v>
      </c>
      <c r="V11" s="57">
        <v>0</v>
      </c>
      <c r="W11" s="57">
        <v>0</v>
      </c>
      <c r="X11" s="57">
        <v>16</v>
      </c>
      <c r="Y11" s="57">
        <v>15</v>
      </c>
      <c r="Z11" s="13">
        <v>0</v>
      </c>
    </row>
    <row r="12" spans="2:26" ht="14.25">
      <c r="B12" s="43" t="s">
        <v>85</v>
      </c>
      <c r="C12" s="43">
        <v>31</v>
      </c>
      <c r="D12" s="54">
        <v>2808.9948</v>
      </c>
      <c r="E12" s="55">
        <f>D12/C12</f>
        <v>90.61273548387096</v>
      </c>
      <c r="F12" s="55">
        <v>287.28</v>
      </c>
      <c r="G12" s="55">
        <v>942.7668</v>
      </c>
      <c r="H12" s="55">
        <v>217.843</v>
      </c>
      <c r="I12" s="55">
        <v>83.68</v>
      </c>
      <c r="J12" s="55">
        <v>156.76</v>
      </c>
      <c r="K12" s="55">
        <v>26.265</v>
      </c>
      <c r="L12" s="55"/>
      <c r="M12" s="55">
        <v>1094.4</v>
      </c>
      <c r="N12" s="56"/>
      <c r="O12" s="57">
        <v>0</v>
      </c>
      <c r="P12" s="57">
        <v>0</v>
      </c>
      <c r="Q12" s="57">
        <v>0</v>
      </c>
      <c r="R12" s="57">
        <v>3</v>
      </c>
      <c r="S12" s="57">
        <v>28</v>
      </c>
      <c r="T12" s="57">
        <v>0</v>
      </c>
      <c r="U12" s="57">
        <v>0</v>
      </c>
      <c r="V12" s="57">
        <v>0</v>
      </c>
      <c r="W12" s="57">
        <v>0</v>
      </c>
      <c r="X12" s="57">
        <v>17</v>
      </c>
      <c r="Y12" s="57">
        <v>14</v>
      </c>
      <c r="Z12" s="13">
        <v>7</v>
      </c>
    </row>
    <row r="13" spans="2:26" ht="14.25">
      <c r="B13" s="43" t="s">
        <v>86</v>
      </c>
      <c r="C13" s="43">
        <v>30</v>
      </c>
      <c r="D13" s="54">
        <v>1965.57</v>
      </c>
      <c r="E13" s="55">
        <f>D13/C13</f>
        <v>65.51899999999999</v>
      </c>
      <c r="F13" s="55">
        <v>477.67</v>
      </c>
      <c r="G13" s="55">
        <v>506.71</v>
      </c>
      <c r="H13" s="55">
        <v>412.65</v>
      </c>
      <c r="I13" s="55">
        <v>123.48</v>
      </c>
      <c r="J13" s="55">
        <v>279.53</v>
      </c>
      <c r="K13" s="55">
        <v>165.53</v>
      </c>
      <c r="L13" s="55"/>
      <c r="M13" s="55"/>
      <c r="N13" s="56"/>
      <c r="O13" s="57">
        <v>0</v>
      </c>
      <c r="P13" s="57">
        <v>0</v>
      </c>
      <c r="Q13" s="57">
        <v>0</v>
      </c>
      <c r="R13" s="57">
        <v>0</v>
      </c>
      <c r="S13" s="57">
        <v>29</v>
      </c>
      <c r="T13" s="57">
        <v>0</v>
      </c>
      <c r="U13" s="57">
        <v>1</v>
      </c>
      <c r="V13" s="57">
        <v>0</v>
      </c>
      <c r="W13" s="57">
        <v>0</v>
      </c>
      <c r="X13" s="57">
        <v>12</v>
      </c>
      <c r="Y13" s="57">
        <v>18</v>
      </c>
      <c r="Z13" s="13">
        <v>1</v>
      </c>
    </row>
    <row r="14" spans="2:26" ht="12.75">
      <c r="B14" s="43" t="s">
        <v>87</v>
      </c>
      <c r="C14" s="43">
        <v>31</v>
      </c>
      <c r="D14" s="54">
        <v>2330.09</v>
      </c>
      <c r="E14" s="55">
        <f>D14/C14</f>
        <v>75.1641935483871</v>
      </c>
      <c r="F14" s="55">
        <v>607.26</v>
      </c>
      <c r="G14" s="55">
        <v>568.9</v>
      </c>
      <c r="H14" s="55">
        <v>608.13</v>
      </c>
      <c r="I14" s="55">
        <v>97.86</v>
      </c>
      <c r="J14" s="55">
        <v>263.7</v>
      </c>
      <c r="K14" s="55">
        <v>11.95</v>
      </c>
      <c r="L14" s="55"/>
      <c r="M14" s="55">
        <v>172.29</v>
      </c>
      <c r="N14" s="56"/>
      <c r="O14" s="57">
        <v>0</v>
      </c>
      <c r="P14" s="57">
        <v>1</v>
      </c>
      <c r="Q14" s="57">
        <v>0</v>
      </c>
      <c r="R14" s="57">
        <v>0</v>
      </c>
      <c r="S14" s="57">
        <v>28</v>
      </c>
      <c r="T14" s="57">
        <v>0</v>
      </c>
      <c r="U14" s="57">
        <v>2</v>
      </c>
      <c r="V14" s="57">
        <v>0</v>
      </c>
      <c r="W14" s="57">
        <v>0</v>
      </c>
      <c r="X14" s="57">
        <v>14</v>
      </c>
      <c r="Y14" s="57">
        <v>17</v>
      </c>
      <c r="Z14" s="13">
        <v>0</v>
      </c>
    </row>
    <row r="15" spans="2:26" ht="12.75">
      <c r="B15" s="43" t="s">
        <v>76</v>
      </c>
      <c r="C15" s="43">
        <v>30</v>
      </c>
      <c r="D15" s="54">
        <v>2261.64</v>
      </c>
      <c r="E15" s="55">
        <f>D15/C15</f>
        <v>75.38799999999999</v>
      </c>
      <c r="F15" s="55">
        <v>825.56889523988</v>
      </c>
      <c r="G15" s="55">
        <v>533.29</v>
      </c>
      <c r="H15" s="55">
        <v>446.297034295352</v>
      </c>
      <c r="I15" s="55">
        <v>189.18</v>
      </c>
      <c r="J15" s="55">
        <v>245.78</v>
      </c>
      <c r="K15" s="55">
        <v>14.36</v>
      </c>
      <c r="L15" s="55"/>
      <c r="M15" s="55">
        <v>7.17</v>
      </c>
      <c r="N15" s="56"/>
      <c r="O15" s="57">
        <v>0</v>
      </c>
      <c r="P15" s="57">
        <v>0</v>
      </c>
      <c r="Q15" s="57">
        <v>0</v>
      </c>
      <c r="R15" s="57">
        <v>3</v>
      </c>
      <c r="S15" s="57">
        <v>27</v>
      </c>
      <c r="T15" s="57">
        <v>0</v>
      </c>
      <c r="U15" s="57">
        <v>0</v>
      </c>
      <c r="V15" s="57">
        <v>0</v>
      </c>
      <c r="W15" s="57">
        <v>0</v>
      </c>
      <c r="X15" s="57">
        <v>26</v>
      </c>
      <c r="Y15" s="57">
        <v>4</v>
      </c>
      <c r="Z15" s="13">
        <v>0</v>
      </c>
    </row>
    <row r="16" spans="2:26" ht="12.75">
      <c r="B16" s="43" t="s">
        <v>77</v>
      </c>
      <c r="C16" s="43">
        <v>31</v>
      </c>
      <c r="D16" s="54">
        <v>1157.47</v>
      </c>
      <c r="E16" s="55">
        <f>D16/C16</f>
        <v>37.33774193548387</v>
      </c>
      <c r="F16" s="55">
        <v>258.22</v>
      </c>
      <c r="G16" s="55">
        <v>309.63</v>
      </c>
      <c r="H16" s="55">
        <v>60.77</v>
      </c>
      <c r="I16" s="55">
        <v>82.18</v>
      </c>
      <c r="J16" s="55">
        <v>369.53</v>
      </c>
      <c r="K16" s="55">
        <v>77.13</v>
      </c>
      <c r="L16" s="55"/>
      <c r="M16" s="55"/>
      <c r="N16" s="56"/>
      <c r="O16" s="57">
        <v>0</v>
      </c>
      <c r="P16" s="57">
        <v>1</v>
      </c>
      <c r="Q16" s="57">
        <v>0</v>
      </c>
      <c r="R16" s="57">
        <v>0</v>
      </c>
      <c r="S16" s="57">
        <v>30</v>
      </c>
      <c r="T16" s="57">
        <v>0</v>
      </c>
      <c r="U16" s="57">
        <v>0</v>
      </c>
      <c r="V16" s="57">
        <v>0</v>
      </c>
      <c r="W16" s="57">
        <v>0</v>
      </c>
      <c r="X16" s="57">
        <v>30</v>
      </c>
      <c r="Y16" s="57">
        <v>1</v>
      </c>
      <c r="Z16" s="13">
        <v>0</v>
      </c>
    </row>
    <row r="17" spans="2:26" ht="12.75">
      <c r="B17" s="43" t="s">
        <v>88</v>
      </c>
      <c r="C17" s="43">
        <v>31</v>
      </c>
      <c r="D17" s="54">
        <v>2461.27975047619</v>
      </c>
      <c r="E17" s="55">
        <f>D17/C17</f>
        <v>79.3961209831029</v>
      </c>
      <c r="F17" s="55">
        <v>711.21</v>
      </c>
      <c r="G17" s="55">
        <v>570.69</v>
      </c>
      <c r="H17" s="55">
        <v>440.73</v>
      </c>
      <c r="I17" s="55">
        <v>61.59</v>
      </c>
      <c r="J17" s="55">
        <v>467.04</v>
      </c>
      <c r="K17" s="55">
        <v>210.03</v>
      </c>
      <c r="L17" s="55"/>
      <c r="M17" s="55"/>
      <c r="N17" s="56"/>
      <c r="O17" s="57">
        <v>0</v>
      </c>
      <c r="P17" s="57">
        <v>2</v>
      </c>
      <c r="Q17" s="57">
        <v>1</v>
      </c>
      <c r="R17" s="57">
        <v>5</v>
      </c>
      <c r="S17" s="57">
        <v>23</v>
      </c>
      <c r="T17" s="57">
        <v>0</v>
      </c>
      <c r="U17" s="57">
        <v>0</v>
      </c>
      <c r="V17" s="57">
        <v>0</v>
      </c>
      <c r="W17" s="57">
        <v>0</v>
      </c>
      <c r="X17" s="57">
        <v>27</v>
      </c>
      <c r="Y17" s="57">
        <v>4</v>
      </c>
      <c r="Z17" s="13">
        <v>0</v>
      </c>
    </row>
    <row r="18" spans="2:26" ht="12.75">
      <c r="B18" s="43" t="s">
        <v>89</v>
      </c>
      <c r="C18" s="43">
        <v>28</v>
      </c>
      <c r="D18" s="54">
        <v>1485.6045225</v>
      </c>
      <c r="E18" s="55">
        <f>D18/C18</f>
        <v>53.057304375</v>
      </c>
      <c r="F18" s="55">
        <v>278.62</v>
      </c>
      <c r="G18" s="55">
        <v>751.97</v>
      </c>
      <c r="H18" s="55">
        <v>180.46</v>
      </c>
      <c r="I18" s="55">
        <v>0</v>
      </c>
      <c r="J18" s="55">
        <v>1.73</v>
      </c>
      <c r="K18" s="55">
        <v>272.82</v>
      </c>
      <c r="L18" s="55"/>
      <c r="M18" s="55"/>
      <c r="N18" s="56"/>
      <c r="O18" s="57">
        <v>0</v>
      </c>
      <c r="P18" s="57">
        <v>0</v>
      </c>
      <c r="Q18" s="57">
        <v>0</v>
      </c>
      <c r="R18" s="57">
        <v>28</v>
      </c>
      <c r="S18" s="57">
        <v>0</v>
      </c>
      <c r="T18" s="57">
        <v>0</v>
      </c>
      <c r="U18" s="57">
        <v>0</v>
      </c>
      <c r="V18" s="57">
        <v>0</v>
      </c>
      <c r="W18" s="57">
        <v>0</v>
      </c>
      <c r="X18" s="57">
        <v>28</v>
      </c>
      <c r="Y18" s="57">
        <v>0</v>
      </c>
      <c r="Z18" s="13">
        <v>0</v>
      </c>
    </row>
    <row r="19" spans="2:26" ht="12.75">
      <c r="B19" s="43" t="s">
        <v>90</v>
      </c>
      <c r="C19" s="43">
        <v>31</v>
      </c>
      <c r="D19" s="54">
        <v>4718.01</v>
      </c>
      <c r="E19" s="55">
        <f>D19/C19</f>
        <v>152.19387096774193</v>
      </c>
      <c r="F19" s="55">
        <v>1427.69</v>
      </c>
      <c r="G19" s="55">
        <v>771.23</v>
      </c>
      <c r="H19" s="55">
        <v>943.92</v>
      </c>
      <c r="I19" s="55">
        <v>1076.4</v>
      </c>
      <c r="J19" s="55">
        <v>319.61</v>
      </c>
      <c r="K19" s="55">
        <v>67.5</v>
      </c>
      <c r="L19" s="55"/>
      <c r="M19" s="55">
        <v>111.66</v>
      </c>
      <c r="N19" s="56"/>
      <c r="O19" s="57">
        <v>0</v>
      </c>
      <c r="P19" s="57">
        <v>4</v>
      </c>
      <c r="Q19" s="57">
        <v>0</v>
      </c>
      <c r="R19" s="57">
        <v>4</v>
      </c>
      <c r="S19" s="57">
        <v>22</v>
      </c>
      <c r="T19" s="57">
        <v>0</v>
      </c>
      <c r="U19" s="57">
        <v>1</v>
      </c>
      <c r="V19" s="57">
        <v>0</v>
      </c>
      <c r="W19" s="57">
        <v>0</v>
      </c>
      <c r="X19" s="57">
        <v>24</v>
      </c>
      <c r="Y19" s="57">
        <v>7</v>
      </c>
      <c r="Z19" s="13">
        <v>0</v>
      </c>
    </row>
    <row r="20" spans="2:26" ht="14.25">
      <c r="B20" s="43" t="s">
        <v>91</v>
      </c>
      <c r="C20" s="43">
        <v>30</v>
      </c>
      <c r="D20" s="54">
        <v>2516.84</v>
      </c>
      <c r="E20" s="55">
        <f>D20/C20</f>
        <v>83.89466666666667</v>
      </c>
      <c r="F20" s="55">
        <v>964.100170079105</v>
      </c>
      <c r="G20" s="55">
        <v>714.083853046958</v>
      </c>
      <c r="H20" s="55">
        <v>204.669267654791</v>
      </c>
      <c r="I20" s="55">
        <v>154.488</v>
      </c>
      <c r="J20" s="55">
        <v>199.58625</v>
      </c>
      <c r="K20" s="55">
        <v>139.283248504728</v>
      </c>
      <c r="L20" s="55">
        <v>140.63</v>
      </c>
      <c r="M20" s="55"/>
      <c r="N20" s="56"/>
      <c r="O20" s="57">
        <v>0</v>
      </c>
      <c r="P20" s="57">
        <v>2</v>
      </c>
      <c r="Q20" s="57">
        <v>0</v>
      </c>
      <c r="R20" s="57">
        <v>0</v>
      </c>
      <c r="S20" s="57">
        <v>9</v>
      </c>
      <c r="T20" s="57">
        <v>0</v>
      </c>
      <c r="U20" s="57">
        <v>0</v>
      </c>
      <c r="V20" s="57">
        <v>19</v>
      </c>
      <c r="W20" s="57">
        <v>0</v>
      </c>
      <c r="X20" s="57">
        <v>22</v>
      </c>
      <c r="Y20" s="57">
        <v>8</v>
      </c>
      <c r="Z20" s="13">
        <v>2</v>
      </c>
    </row>
    <row r="21" spans="2:26" ht="14.25">
      <c r="B21" s="43" t="s">
        <v>92</v>
      </c>
      <c r="C21" s="43">
        <v>31</v>
      </c>
      <c r="D21" s="54">
        <v>2245.34628</v>
      </c>
      <c r="E21" s="55">
        <f>D21/C21</f>
        <v>72.43052516129033</v>
      </c>
      <c r="F21" s="55">
        <v>616.6215</v>
      </c>
      <c r="G21" s="55">
        <v>664.1517</v>
      </c>
      <c r="H21" s="55">
        <v>179.20654</v>
      </c>
      <c r="I21" s="55">
        <v>68.29184</v>
      </c>
      <c r="J21" s="55">
        <v>639.07654</v>
      </c>
      <c r="K21" s="55">
        <v>29.91216</v>
      </c>
      <c r="L21" s="55">
        <v>48.09</v>
      </c>
      <c r="M21" s="55"/>
      <c r="N21" s="56"/>
      <c r="O21" s="57">
        <v>0</v>
      </c>
      <c r="P21" s="57">
        <v>0</v>
      </c>
      <c r="Q21" s="57">
        <v>0</v>
      </c>
      <c r="R21" s="57">
        <v>7</v>
      </c>
      <c r="S21" s="57">
        <v>23</v>
      </c>
      <c r="T21" s="57">
        <v>0</v>
      </c>
      <c r="U21" s="57">
        <v>0</v>
      </c>
      <c r="V21" s="57">
        <v>1</v>
      </c>
      <c r="W21" s="57">
        <v>0</v>
      </c>
      <c r="X21" s="57">
        <v>14</v>
      </c>
      <c r="Y21" s="57">
        <v>17</v>
      </c>
      <c r="Z21" s="13">
        <v>2</v>
      </c>
    </row>
    <row r="22" spans="2:26" ht="14.25">
      <c r="B22" s="43" t="s">
        <v>93</v>
      </c>
      <c r="C22" s="43">
        <v>30</v>
      </c>
      <c r="D22" s="54">
        <v>3243.55533</v>
      </c>
      <c r="E22" s="55">
        <f>D22/C22</f>
        <v>108.118511</v>
      </c>
      <c r="F22" s="55">
        <v>785.67411</v>
      </c>
      <c r="G22" s="55">
        <v>622.4772</v>
      </c>
      <c r="H22" s="55">
        <v>334.45738</v>
      </c>
      <c r="I22" s="55">
        <v>188.101</v>
      </c>
      <c r="J22" s="55">
        <v>443.91295</v>
      </c>
      <c r="K22" s="55">
        <v>868.93269</v>
      </c>
      <c r="L22" s="55"/>
      <c r="M22" s="55"/>
      <c r="N22" s="56"/>
      <c r="O22" s="57">
        <v>0</v>
      </c>
      <c r="P22" s="57">
        <v>0</v>
      </c>
      <c r="Q22" s="57">
        <v>0</v>
      </c>
      <c r="R22" s="57">
        <v>0</v>
      </c>
      <c r="S22" s="57">
        <v>30</v>
      </c>
      <c r="T22" s="57">
        <v>0</v>
      </c>
      <c r="U22" s="57">
        <v>0</v>
      </c>
      <c r="V22" s="57">
        <v>0</v>
      </c>
      <c r="W22" s="57">
        <v>0</v>
      </c>
      <c r="X22" s="57">
        <v>22</v>
      </c>
      <c r="Y22" s="57">
        <v>8</v>
      </c>
      <c r="Z22" s="13">
        <v>1</v>
      </c>
    </row>
    <row r="23" spans="2:26" ht="14.25">
      <c r="B23" s="43" t="s">
        <v>94</v>
      </c>
      <c r="C23" s="43">
        <v>31</v>
      </c>
      <c r="D23" s="54">
        <v>3041.91</v>
      </c>
      <c r="E23" s="55">
        <f>D23/C23</f>
        <v>98.12612903225806</v>
      </c>
      <c r="F23" s="55">
        <v>1128.73</v>
      </c>
      <c r="G23" s="55">
        <v>745.73</v>
      </c>
      <c r="H23" s="55">
        <v>377.99</v>
      </c>
      <c r="I23" s="55">
        <v>322.11</v>
      </c>
      <c r="J23" s="55">
        <v>236.74</v>
      </c>
      <c r="K23" s="55">
        <v>29.44</v>
      </c>
      <c r="L23" s="55">
        <v>194.36</v>
      </c>
      <c r="M23" s="55">
        <v>6.8</v>
      </c>
      <c r="N23" s="56"/>
      <c r="O23" s="57">
        <v>0</v>
      </c>
      <c r="P23" s="57">
        <v>9</v>
      </c>
      <c r="Q23" s="57">
        <v>0</v>
      </c>
      <c r="R23" s="57">
        <v>0</v>
      </c>
      <c r="S23" s="57">
        <v>19</v>
      </c>
      <c r="T23" s="57">
        <v>0</v>
      </c>
      <c r="U23" s="57">
        <v>0</v>
      </c>
      <c r="V23" s="57">
        <v>3</v>
      </c>
      <c r="W23" s="57">
        <v>0</v>
      </c>
      <c r="X23" s="57">
        <v>27</v>
      </c>
      <c r="Y23" s="57">
        <v>4</v>
      </c>
      <c r="Z23" s="13">
        <v>11</v>
      </c>
    </row>
    <row r="24" spans="2:26" ht="14.25">
      <c r="B24" s="43" t="s">
        <v>95</v>
      </c>
      <c r="C24" s="43">
        <v>31</v>
      </c>
      <c r="D24" s="54">
        <v>4025.22</v>
      </c>
      <c r="E24" s="55">
        <f>D24/C24</f>
        <v>129.8458064516129</v>
      </c>
      <c r="F24" s="55">
        <v>1106.28</v>
      </c>
      <c r="G24" s="55">
        <v>721.44</v>
      </c>
      <c r="H24" s="55">
        <v>294.31</v>
      </c>
      <c r="I24" s="55">
        <v>193.67</v>
      </c>
      <c r="J24" s="55">
        <v>141.68</v>
      </c>
      <c r="K24" s="55">
        <v>28.5</v>
      </c>
      <c r="L24" s="55"/>
      <c r="M24" s="55">
        <v>1539.35</v>
      </c>
      <c r="N24" s="56"/>
      <c r="O24" s="57">
        <v>0</v>
      </c>
      <c r="P24" s="57">
        <v>0</v>
      </c>
      <c r="Q24" s="57">
        <v>0</v>
      </c>
      <c r="R24" s="57">
        <v>0</v>
      </c>
      <c r="S24" s="57">
        <v>4</v>
      </c>
      <c r="T24" s="57">
        <v>0</v>
      </c>
      <c r="U24" s="57">
        <v>0</v>
      </c>
      <c r="V24" s="57">
        <v>27</v>
      </c>
      <c r="W24" s="57">
        <v>0</v>
      </c>
      <c r="X24" s="57">
        <v>27</v>
      </c>
      <c r="Y24" s="57">
        <v>4</v>
      </c>
      <c r="Z24" s="13">
        <v>3</v>
      </c>
    </row>
    <row r="25" spans="2:26" ht="14.25">
      <c r="B25" s="43" t="s">
        <v>96</v>
      </c>
      <c r="C25" s="43">
        <v>30</v>
      </c>
      <c r="D25" s="54">
        <v>2012.56</v>
      </c>
      <c r="E25" s="55">
        <f>D25/C25</f>
        <v>67.08533333333334</v>
      </c>
      <c r="F25" s="55">
        <v>684.03</v>
      </c>
      <c r="G25" s="55">
        <v>571.04</v>
      </c>
      <c r="H25" s="55">
        <v>450</v>
      </c>
      <c r="I25" s="55">
        <v>1.89</v>
      </c>
      <c r="J25" s="55">
        <v>178.24</v>
      </c>
      <c r="K25" s="55">
        <v>127.27</v>
      </c>
      <c r="L25" s="55"/>
      <c r="M25" s="55"/>
      <c r="N25" s="56"/>
      <c r="O25" s="57">
        <v>0</v>
      </c>
      <c r="P25" s="57">
        <v>0</v>
      </c>
      <c r="Q25" s="57">
        <v>0</v>
      </c>
      <c r="R25" s="57">
        <v>0</v>
      </c>
      <c r="S25" s="57">
        <v>7</v>
      </c>
      <c r="T25" s="57">
        <v>0</v>
      </c>
      <c r="U25" s="57">
        <v>0</v>
      </c>
      <c r="V25" s="57">
        <v>12</v>
      </c>
      <c r="W25" s="57">
        <v>11</v>
      </c>
      <c r="X25" s="57">
        <v>17</v>
      </c>
      <c r="Y25" s="57">
        <v>13</v>
      </c>
      <c r="Z25" s="13">
        <v>0</v>
      </c>
    </row>
    <row r="26" spans="2:26" ht="14.25">
      <c r="B26" s="43" t="s">
        <v>97</v>
      </c>
      <c r="C26" s="43">
        <v>31</v>
      </c>
      <c r="D26" s="54">
        <v>3015.84</v>
      </c>
      <c r="E26" s="55">
        <f>D26/C26</f>
        <v>97.28516129032259</v>
      </c>
      <c r="F26" s="55">
        <v>1279.66</v>
      </c>
      <c r="G26" s="55">
        <v>673.74</v>
      </c>
      <c r="H26" s="55">
        <v>463.43</v>
      </c>
      <c r="I26" s="55">
        <v>130.57</v>
      </c>
      <c r="J26" s="55">
        <v>184.51</v>
      </c>
      <c r="K26" s="55">
        <v>283.92</v>
      </c>
      <c r="L26" s="55"/>
      <c r="M26" s="55"/>
      <c r="N26" s="56"/>
      <c r="O26" s="57">
        <v>0</v>
      </c>
      <c r="P26" s="57">
        <v>0</v>
      </c>
      <c r="Q26" s="57">
        <v>0</v>
      </c>
      <c r="R26" s="57">
        <v>0</v>
      </c>
      <c r="S26" s="57">
        <v>0</v>
      </c>
      <c r="T26" s="57">
        <v>0</v>
      </c>
      <c r="U26" s="57">
        <v>1</v>
      </c>
      <c r="V26" s="57">
        <v>30</v>
      </c>
      <c r="W26" s="57">
        <v>0</v>
      </c>
      <c r="X26" s="57">
        <v>30</v>
      </c>
      <c r="Y26" s="57">
        <v>1</v>
      </c>
      <c r="Z26" s="13">
        <v>0</v>
      </c>
    </row>
    <row r="27" spans="2:26" ht="12.75">
      <c r="B27" s="43" t="s">
        <v>98</v>
      </c>
      <c r="C27" s="43">
        <v>30</v>
      </c>
      <c r="D27" s="54">
        <v>5422.83</v>
      </c>
      <c r="E27" s="55">
        <f>D27/C27</f>
        <v>180.761</v>
      </c>
      <c r="F27" s="55">
        <v>1197.97</v>
      </c>
      <c r="G27" s="55">
        <v>747.07</v>
      </c>
      <c r="H27" s="55">
        <v>796.23</v>
      </c>
      <c r="I27" s="55">
        <v>40.5</v>
      </c>
      <c r="J27" s="55">
        <v>353.05</v>
      </c>
      <c r="K27" s="55">
        <v>331.26</v>
      </c>
      <c r="L27" s="55"/>
      <c r="M27" s="55">
        <v>1956.75</v>
      </c>
      <c r="N27" s="56"/>
      <c r="O27" s="57">
        <v>0</v>
      </c>
      <c r="P27" s="57">
        <v>0</v>
      </c>
      <c r="Q27" s="57">
        <v>0</v>
      </c>
      <c r="R27" s="57">
        <v>0</v>
      </c>
      <c r="S27" s="57">
        <v>12</v>
      </c>
      <c r="T27" s="57">
        <v>0</v>
      </c>
      <c r="U27" s="57">
        <v>3</v>
      </c>
      <c r="V27" s="57">
        <v>14</v>
      </c>
      <c r="W27" s="57">
        <v>1</v>
      </c>
      <c r="X27" s="57">
        <v>26</v>
      </c>
      <c r="Y27" s="57">
        <v>4</v>
      </c>
      <c r="Z27" s="13">
        <v>0</v>
      </c>
    </row>
    <row r="28" spans="2:26" ht="12.75">
      <c r="B28" s="58" t="s">
        <v>99</v>
      </c>
      <c r="C28" s="43">
        <v>31</v>
      </c>
      <c r="D28" s="54">
        <v>7423.15</v>
      </c>
      <c r="E28" s="55">
        <f>D28/C28</f>
        <v>239.4564516129032</v>
      </c>
      <c r="F28" s="55">
        <v>1303.59</v>
      </c>
      <c r="G28" s="55">
        <v>425.62</v>
      </c>
      <c r="H28" s="55">
        <v>4801.25</v>
      </c>
      <c r="I28" s="55">
        <v>190.7</v>
      </c>
      <c r="J28" s="55">
        <v>495.75</v>
      </c>
      <c r="K28" s="55">
        <v>121.48</v>
      </c>
      <c r="L28" s="55"/>
      <c r="M28" s="55">
        <v>84.76</v>
      </c>
      <c r="N28" s="56"/>
      <c r="O28" s="57">
        <v>0</v>
      </c>
      <c r="P28" s="57">
        <v>0</v>
      </c>
      <c r="Q28" s="57">
        <v>0</v>
      </c>
      <c r="R28" s="57">
        <v>0</v>
      </c>
      <c r="S28" s="57">
        <v>21</v>
      </c>
      <c r="T28" s="57">
        <v>0</v>
      </c>
      <c r="U28" s="57">
        <v>6</v>
      </c>
      <c r="V28" s="57">
        <v>3</v>
      </c>
      <c r="W28" s="57">
        <v>0</v>
      </c>
      <c r="X28" s="57">
        <v>25</v>
      </c>
      <c r="Y28" s="57">
        <v>6</v>
      </c>
      <c r="Z28" s="13">
        <v>0</v>
      </c>
    </row>
    <row r="29" spans="2:26" ht="12.75">
      <c r="B29" s="58" t="s">
        <v>100</v>
      </c>
      <c r="C29" s="43">
        <v>31</v>
      </c>
      <c r="D29" s="54">
        <v>3205</v>
      </c>
      <c r="E29" s="55">
        <f>D29/C29</f>
        <v>103.38709677419355</v>
      </c>
      <c r="F29" s="55">
        <v>1250.27</v>
      </c>
      <c r="G29" s="55">
        <v>412.52</v>
      </c>
      <c r="H29" s="55">
        <v>1088.26</v>
      </c>
      <c r="I29" s="55">
        <v>28.25</v>
      </c>
      <c r="J29" s="55">
        <v>398.07</v>
      </c>
      <c r="K29" s="55">
        <v>27.63</v>
      </c>
      <c r="L29" s="55"/>
      <c r="M29" s="55"/>
      <c r="N29" s="56"/>
      <c r="O29" s="57">
        <v>0</v>
      </c>
      <c r="P29" s="57">
        <v>0</v>
      </c>
      <c r="Q29" s="57">
        <v>0</v>
      </c>
      <c r="R29" s="57">
        <v>0</v>
      </c>
      <c r="S29" s="57">
        <v>21</v>
      </c>
      <c r="T29" s="57">
        <v>1</v>
      </c>
      <c r="U29" s="57">
        <v>3</v>
      </c>
      <c r="V29" s="57">
        <v>6</v>
      </c>
      <c r="W29" s="57">
        <v>0</v>
      </c>
      <c r="X29" s="57">
        <v>27</v>
      </c>
      <c r="Y29" s="57">
        <v>4</v>
      </c>
      <c r="Z29" s="13">
        <v>0</v>
      </c>
    </row>
    <row r="30" spans="2:26" ht="12.75">
      <c r="B30" s="58" t="s">
        <v>101</v>
      </c>
      <c r="C30" s="43">
        <v>28</v>
      </c>
      <c r="D30" s="54">
        <v>2518.07</v>
      </c>
      <c r="E30" s="55">
        <f>D30/C30</f>
        <v>89.93107142857143</v>
      </c>
      <c r="F30" s="55">
        <v>1193.5</v>
      </c>
      <c r="G30" s="55">
        <f>381.97</f>
        <v>381.97</v>
      </c>
      <c r="H30" s="55">
        <f>629.22</f>
        <v>629.22</v>
      </c>
      <c r="I30" s="55">
        <v>19.26</v>
      </c>
      <c r="J30" s="55">
        <v>272.59</v>
      </c>
      <c r="K30" s="55">
        <v>21.53</v>
      </c>
      <c r="L30" s="55"/>
      <c r="M30" s="55"/>
      <c r="N30" s="56"/>
      <c r="O30" s="57">
        <v>0</v>
      </c>
      <c r="P30" s="57">
        <v>0</v>
      </c>
      <c r="Q30" s="57">
        <v>0</v>
      </c>
      <c r="R30" s="57">
        <v>0</v>
      </c>
      <c r="S30" s="57">
        <v>27</v>
      </c>
      <c r="T30" s="57">
        <v>1</v>
      </c>
      <c r="U30" s="57">
        <v>0</v>
      </c>
      <c r="V30" s="57">
        <v>0</v>
      </c>
      <c r="W30" s="57">
        <v>0</v>
      </c>
      <c r="X30" s="57">
        <v>27</v>
      </c>
      <c r="Y30" s="57">
        <v>1</v>
      </c>
      <c r="Z30" s="13">
        <v>0</v>
      </c>
    </row>
    <row r="31" spans="2:26" ht="12.75">
      <c r="B31" s="58" t="s">
        <v>102</v>
      </c>
      <c r="C31" s="43">
        <v>31</v>
      </c>
      <c r="D31" s="54">
        <v>3148.31</v>
      </c>
      <c r="E31" s="55">
        <f>D31/C31</f>
        <v>101.5583870967742</v>
      </c>
      <c r="F31" s="55">
        <v>1323.48</v>
      </c>
      <c r="G31" s="55">
        <v>472.77</v>
      </c>
      <c r="H31" s="55">
        <v>741.41</v>
      </c>
      <c r="I31" s="55">
        <v>97.94</v>
      </c>
      <c r="J31" s="55">
        <v>388.43</v>
      </c>
      <c r="K31" s="55">
        <v>28.01</v>
      </c>
      <c r="L31" s="55">
        <v>96.27</v>
      </c>
      <c r="M31" s="55"/>
      <c r="N31" s="56"/>
      <c r="O31" s="57">
        <v>0</v>
      </c>
      <c r="P31" s="57">
        <v>0</v>
      </c>
      <c r="Q31" s="57">
        <v>0</v>
      </c>
      <c r="R31" s="57">
        <v>0</v>
      </c>
      <c r="S31" s="57">
        <v>26</v>
      </c>
      <c r="T31" s="57">
        <v>0</v>
      </c>
      <c r="U31" s="57">
        <v>1</v>
      </c>
      <c r="V31" s="57">
        <v>4</v>
      </c>
      <c r="W31" s="57">
        <v>0</v>
      </c>
      <c r="X31" s="57">
        <v>30</v>
      </c>
      <c r="Y31" s="57">
        <v>1</v>
      </c>
      <c r="Z31" s="13">
        <v>0</v>
      </c>
    </row>
    <row r="32" spans="2:26" ht="12.75">
      <c r="B32" s="58" t="s">
        <v>103</v>
      </c>
      <c r="C32" s="43">
        <v>30</v>
      </c>
      <c r="D32" s="54">
        <v>3137.61</v>
      </c>
      <c r="E32" s="55">
        <f>D32/C32</f>
        <v>104.587</v>
      </c>
      <c r="F32" s="55">
        <v>1148.44</v>
      </c>
      <c r="G32" s="55">
        <v>451.29</v>
      </c>
      <c r="H32" s="55">
        <v>733.79</v>
      </c>
      <c r="I32" s="55">
        <v>5.36</v>
      </c>
      <c r="J32" s="55">
        <v>287.63</v>
      </c>
      <c r="K32" s="55">
        <v>131.25</v>
      </c>
      <c r="L32" s="55">
        <v>245</v>
      </c>
      <c r="M32" s="55">
        <v>134.85</v>
      </c>
      <c r="N32" s="56"/>
      <c r="O32" s="57">
        <v>0</v>
      </c>
      <c r="P32" s="57">
        <v>0</v>
      </c>
      <c r="Q32" s="57">
        <v>0</v>
      </c>
      <c r="R32" s="57">
        <v>0</v>
      </c>
      <c r="S32" s="57">
        <v>25</v>
      </c>
      <c r="T32" s="57">
        <v>2</v>
      </c>
      <c r="U32" s="57">
        <v>1</v>
      </c>
      <c r="V32" s="57">
        <v>2</v>
      </c>
      <c r="W32" s="57">
        <v>0</v>
      </c>
      <c r="X32" s="57">
        <v>27</v>
      </c>
      <c r="Y32" s="57">
        <v>3</v>
      </c>
      <c r="Z32" s="13">
        <v>0</v>
      </c>
    </row>
    <row r="33" spans="2:26" ht="12.75">
      <c r="B33" s="58" t="s">
        <v>104</v>
      </c>
      <c r="C33" s="43">
        <v>31</v>
      </c>
      <c r="D33" s="54">
        <v>3642.75</v>
      </c>
      <c r="E33" s="55">
        <f>D33/C33</f>
        <v>117.50806451612904</v>
      </c>
      <c r="F33" s="55">
        <v>827.58</v>
      </c>
      <c r="G33" s="55">
        <v>334.02</v>
      </c>
      <c r="H33" s="55">
        <v>705.64</v>
      </c>
      <c r="I33" s="55">
        <v>889.76</v>
      </c>
      <c r="J33" s="55">
        <v>621.76</v>
      </c>
      <c r="K33" s="55">
        <v>73.7</v>
      </c>
      <c r="L33" s="55">
        <v>190.28</v>
      </c>
      <c r="M33" s="55"/>
      <c r="N33" s="56"/>
      <c r="O33" s="57">
        <v>0</v>
      </c>
      <c r="P33" s="57">
        <v>0</v>
      </c>
      <c r="Q33" s="57">
        <v>0</v>
      </c>
      <c r="R33" s="57">
        <v>0</v>
      </c>
      <c r="S33" s="57">
        <v>27</v>
      </c>
      <c r="T33" s="57">
        <v>0</v>
      </c>
      <c r="U33" s="57">
        <v>4</v>
      </c>
      <c r="V33" s="57">
        <v>0</v>
      </c>
      <c r="W33" s="57">
        <v>0</v>
      </c>
      <c r="X33" s="57">
        <v>27</v>
      </c>
      <c r="Y33" s="57">
        <v>4</v>
      </c>
      <c r="Z33" s="13">
        <v>0</v>
      </c>
    </row>
    <row r="34" spans="2:26" ht="12.75">
      <c r="B34" s="58" t="s">
        <v>105</v>
      </c>
      <c r="C34" s="43">
        <v>30</v>
      </c>
      <c r="D34" s="54">
        <v>3583.35</v>
      </c>
      <c r="E34" s="55">
        <f>D34/C34</f>
        <v>119.445</v>
      </c>
      <c r="F34" s="55">
        <v>807.01</v>
      </c>
      <c r="G34" s="55">
        <v>442.67</v>
      </c>
      <c r="H34" s="55">
        <v>1122.05</v>
      </c>
      <c r="I34" s="55">
        <v>83.6</v>
      </c>
      <c r="J34" s="55">
        <v>834.47</v>
      </c>
      <c r="K34" s="55">
        <v>65.55</v>
      </c>
      <c r="L34" s="55">
        <v>228</v>
      </c>
      <c r="M34" s="55"/>
      <c r="N34" s="56"/>
      <c r="O34" s="57">
        <v>0</v>
      </c>
      <c r="P34" s="57">
        <v>0</v>
      </c>
      <c r="Q34" s="57">
        <v>0</v>
      </c>
      <c r="R34" s="57">
        <v>0</v>
      </c>
      <c r="S34" s="57">
        <v>29</v>
      </c>
      <c r="T34" s="57">
        <v>1</v>
      </c>
      <c r="U34" s="57">
        <v>0</v>
      </c>
      <c r="V34" s="57">
        <v>0</v>
      </c>
      <c r="W34" s="57">
        <v>0</v>
      </c>
      <c r="X34" s="57">
        <v>29</v>
      </c>
      <c r="Y34" s="57">
        <v>1</v>
      </c>
      <c r="Z34" s="13">
        <v>0</v>
      </c>
    </row>
    <row r="35" spans="2:26" ht="12.75">
      <c r="B35" s="58" t="s">
        <v>106</v>
      </c>
      <c r="C35" s="43">
        <v>31</v>
      </c>
      <c r="D35" s="54">
        <v>2732.95</v>
      </c>
      <c r="E35" s="55">
        <f>D35/C35</f>
        <v>88.15967741935484</v>
      </c>
      <c r="F35" s="55">
        <v>876.33</v>
      </c>
      <c r="G35" s="55">
        <v>504.21</v>
      </c>
      <c r="H35" s="55">
        <v>312.96</v>
      </c>
      <c r="I35" s="55">
        <v>326.16</v>
      </c>
      <c r="J35" s="55">
        <v>671.79</v>
      </c>
      <c r="K35" s="55">
        <v>41.5</v>
      </c>
      <c r="L35" s="55"/>
      <c r="M35" s="55"/>
      <c r="N35" s="56"/>
      <c r="O35" s="57">
        <v>0</v>
      </c>
      <c r="P35" s="57">
        <v>0</v>
      </c>
      <c r="Q35" s="57">
        <v>0</v>
      </c>
      <c r="R35" s="57">
        <v>0</v>
      </c>
      <c r="S35" s="57">
        <v>30</v>
      </c>
      <c r="T35" s="57">
        <v>0</v>
      </c>
      <c r="U35" s="57">
        <v>1</v>
      </c>
      <c r="V35" s="57">
        <v>0</v>
      </c>
      <c r="W35" s="57">
        <v>0</v>
      </c>
      <c r="X35" s="57">
        <v>30</v>
      </c>
      <c r="Y35" s="57">
        <v>1</v>
      </c>
      <c r="Z35" s="13">
        <v>0</v>
      </c>
    </row>
    <row r="36" spans="2:26" ht="12.75">
      <c r="B36" s="58" t="s">
        <v>107</v>
      </c>
      <c r="C36" s="43">
        <v>31</v>
      </c>
      <c r="D36" s="54">
        <v>3484.53871356784</v>
      </c>
      <c r="E36" s="55">
        <f>D36/C36</f>
        <v>112.40447463122065</v>
      </c>
      <c r="F36" s="55">
        <v>1164.53415075377</v>
      </c>
      <c r="G36" s="55">
        <v>672.779445226131</v>
      </c>
      <c r="H36" s="55">
        <v>458.812703517588</v>
      </c>
      <c r="I36" s="55">
        <v>12.5017085427136</v>
      </c>
      <c r="J36" s="55">
        <v>555.450910552764</v>
      </c>
      <c r="K36" s="55">
        <v>620.459794974874</v>
      </c>
      <c r="L36" s="55"/>
      <c r="M36" s="55"/>
      <c r="N36" s="56"/>
      <c r="O36" s="57">
        <v>0</v>
      </c>
      <c r="P36" s="57">
        <v>0</v>
      </c>
      <c r="Q36" s="57">
        <v>0</v>
      </c>
      <c r="R36" s="57">
        <v>0</v>
      </c>
      <c r="S36" s="57">
        <v>28</v>
      </c>
      <c r="T36" s="57">
        <v>0</v>
      </c>
      <c r="U36" s="57">
        <v>0</v>
      </c>
      <c r="V36" s="57">
        <v>3</v>
      </c>
      <c r="W36" s="57">
        <v>0</v>
      </c>
      <c r="X36" s="57">
        <v>31</v>
      </c>
      <c r="Y36" s="57">
        <v>0</v>
      </c>
      <c r="Z36" s="13">
        <v>0</v>
      </c>
    </row>
    <row r="37" spans="2:26" ht="12.75">
      <c r="B37" s="58" t="s">
        <v>108</v>
      </c>
      <c r="C37" s="43">
        <v>30</v>
      </c>
      <c r="D37" s="54">
        <v>3049.28353467337</v>
      </c>
      <c r="E37" s="55">
        <f>D37/C37</f>
        <v>101.64278448911233</v>
      </c>
      <c r="F37" s="55">
        <v>1167.13467369575</v>
      </c>
      <c r="G37" s="55">
        <v>308.160343828232</v>
      </c>
      <c r="H37" s="55">
        <v>459.657298967566</v>
      </c>
      <c r="I37" s="55">
        <v>53.0299636363638</v>
      </c>
      <c r="J37" s="55">
        <v>560.659664102331</v>
      </c>
      <c r="K37" s="55">
        <v>60.6415904431249</v>
      </c>
      <c r="L37" s="55">
        <v>440</v>
      </c>
      <c r="M37" s="55"/>
      <c r="N37" s="56"/>
      <c r="O37" s="57">
        <v>0</v>
      </c>
      <c r="P37" s="57">
        <v>0</v>
      </c>
      <c r="Q37" s="57">
        <v>0</v>
      </c>
      <c r="R37" s="57">
        <v>0</v>
      </c>
      <c r="S37" s="57">
        <v>28</v>
      </c>
      <c r="T37" s="57">
        <v>0</v>
      </c>
      <c r="U37" s="57">
        <v>1</v>
      </c>
      <c r="V37" s="57">
        <v>1</v>
      </c>
      <c r="W37" s="57">
        <v>0</v>
      </c>
      <c r="X37" s="57">
        <v>26</v>
      </c>
      <c r="Y37" s="57">
        <v>4</v>
      </c>
      <c r="Z37" s="13">
        <v>4</v>
      </c>
    </row>
    <row r="38" spans="2:26" ht="14.25">
      <c r="B38" s="58" t="s">
        <v>109</v>
      </c>
      <c r="C38" s="43">
        <v>31</v>
      </c>
      <c r="D38" s="54">
        <v>2839.92</v>
      </c>
      <c r="E38" s="55">
        <f>D38/C38</f>
        <v>91.61032258064516</v>
      </c>
      <c r="F38" s="55">
        <v>1017.62</v>
      </c>
      <c r="G38" s="55">
        <v>483.07</v>
      </c>
      <c r="H38" s="55">
        <v>385.34</v>
      </c>
      <c r="I38" s="55">
        <v>266.03</v>
      </c>
      <c r="J38" s="55">
        <v>625.04</v>
      </c>
      <c r="K38" s="55">
        <v>62.81</v>
      </c>
      <c r="L38" s="55"/>
      <c r="M38" s="55"/>
      <c r="N38" s="56"/>
      <c r="O38" s="57">
        <v>0</v>
      </c>
      <c r="P38" s="57">
        <v>0</v>
      </c>
      <c r="Q38" s="57">
        <v>0</v>
      </c>
      <c r="R38" s="57">
        <v>0</v>
      </c>
      <c r="S38" s="57">
        <v>29</v>
      </c>
      <c r="T38" s="57">
        <v>0</v>
      </c>
      <c r="U38" s="57">
        <v>2</v>
      </c>
      <c r="V38" s="57">
        <v>0</v>
      </c>
      <c r="W38" s="57">
        <v>0</v>
      </c>
      <c r="X38" s="57">
        <v>23</v>
      </c>
      <c r="Y38" s="57">
        <v>8</v>
      </c>
      <c r="Z38" s="13">
        <v>0</v>
      </c>
    </row>
    <row r="39" spans="2:26" ht="14.25">
      <c r="B39" s="58" t="s">
        <v>110</v>
      </c>
      <c r="C39" s="43">
        <v>30</v>
      </c>
      <c r="D39" s="54">
        <v>3297.52</v>
      </c>
      <c r="E39" s="55">
        <f>D39/C39</f>
        <v>109.91733333333333</v>
      </c>
      <c r="F39" s="55">
        <v>1013.97</v>
      </c>
      <c r="G39" s="55">
        <v>392.92</v>
      </c>
      <c r="H39" s="55">
        <v>325.74</v>
      </c>
      <c r="I39" s="55">
        <v>57.14</v>
      </c>
      <c r="J39" s="55">
        <v>744.06</v>
      </c>
      <c r="K39" s="55">
        <v>62.27</v>
      </c>
      <c r="L39" s="55">
        <v>231</v>
      </c>
      <c r="M39" s="55">
        <v>470.43</v>
      </c>
      <c r="N39" s="56"/>
      <c r="O39" s="57">
        <v>0</v>
      </c>
      <c r="P39" s="57">
        <v>0</v>
      </c>
      <c r="Q39" s="57">
        <v>0</v>
      </c>
      <c r="R39" s="57">
        <v>0</v>
      </c>
      <c r="S39" s="57">
        <v>29</v>
      </c>
      <c r="T39" s="57">
        <v>0</v>
      </c>
      <c r="U39" s="57">
        <v>1</v>
      </c>
      <c r="V39" s="57">
        <v>0</v>
      </c>
      <c r="W39" s="57">
        <v>0</v>
      </c>
      <c r="X39" s="57">
        <v>26</v>
      </c>
      <c r="Y39" s="57">
        <v>4</v>
      </c>
      <c r="Z39" s="13">
        <v>0</v>
      </c>
    </row>
    <row r="40" spans="2:26" ht="14.25">
      <c r="B40" s="58" t="s">
        <v>111</v>
      </c>
      <c r="C40" s="43">
        <v>31</v>
      </c>
      <c r="D40" s="54">
        <v>3590.71</v>
      </c>
      <c r="E40" s="55">
        <f>D40/C40</f>
        <v>115.82935483870968</v>
      </c>
      <c r="F40" s="55">
        <v>1046.01</v>
      </c>
      <c r="G40" s="55">
        <v>369.17</v>
      </c>
      <c r="H40" s="55">
        <v>510.5</v>
      </c>
      <c r="I40" s="55">
        <v>201.52</v>
      </c>
      <c r="J40" s="55">
        <v>867.28</v>
      </c>
      <c r="K40" s="55">
        <v>18.72</v>
      </c>
      <c r="L40" s="55">
        <v>577.5</v>
      </c>
      <c r="M40" s="55"/>
      <c r="N40" s="56"/>
      <c r="O40" s="57">
        <v>0</v>
      </c>
      <c r="P40" s="57">
        <v>0</v>
      </c>
      <c r="Q40" s="57">
        <v>0</v>
      </c>
      <c r="R40" s="57">
        <v>0</v>
      </c>
      <c r="S40" s="57">
        <v>30</v>
      </c>
      <c r="T40" s="57">
        <v>0</v>
      </c>
      <c r="U40" s="57">
        <v>1</v>
      </c>
      <c r="V40" s="57">
        <v>0</v>
      </c>
      <c r="W40" s="57">
        <v>0</v>
      </c>
      <c r="X40" s="57">
        <v>30</v>
      </c>
      <c r="Y40" s="57">
        <v>1</v>
      </c>
      <c r="Z40" s="13">
        <v>1</v>
      </c>
    </row>
    <row r="41" spans="2:26" ht="12.75">
      <c r="B41" s="58" t="s">
        <v>112</v>
      </c>
      <c r="C41" s="43">
        <v>31</v>
      </c>
      <c r="D41" s="54">
        <v>2994.9</v>
      </c>
      <c r="E41" s="55">
        <f>D41/C41</f>
        <v>96.60967741935484</v>
      </c>
      <c r="F41" s="55">
        <v>1009.96</v>
      </c>
      <c r="G41" s="55">
        <v>431.36</v>
      </c>
      <c r="H41" s="55">
        <v>488.25</v>
      </c>
      <c r="I41" s="55">
        <v>122.69</v>
      </c>
      <c r="J41" s="55">
        <v>728.34</v>
      </c>
      <c r="K41" s="55">
        <v>214.3</v>
      </c>
      <c r="L41" s="55"/>
      <c r="M41" s="55"/>
      <c r="N41" s="56"/>
      <c r="O41" s="57">
        <v>0</v>
      </c>
      <c r="P41" s="57">
        <v>0</v>
      </c>
      <c r="Q41" s="57">
        <v>0</v>
      </c>
      <c r="R41" s="57">
        <v>0</v>
      </c>
      <c r="S41" s="57">
        <v>30</v>
      </c>
      <c r="T41" s="57">
        <v>0</v>
      </c>
      <c r="U41" s="57">
        <v>1</v>
      </c>
      <c r="V41" s="57">
        <v>0</v>
      </c>
      <c r="W41" s="57">
        <v>0</v>
      </c>
      <c r="X41" s="57">
        <v>30</v>
      </c>
      <c r="Y41" s="57">
        <v>1</v>
      </c>
      <c r="Z41" s="13">
        <v>0</v>
      </c>
    </row>
    <row r="42" spans="2:26" ht="12.75">
      <c r="B42" s="58" t="s">
        <v>113</v>
      </c>
      <c r="C42" s="43">
        <v>28</v>
      </c>
      <c r="D42" s="54">
        <v>4214.8</v>
      </c>
      <c r="E42" s="55">
        <f>D42/C42</f>
        <v>150.52857142857144</v>
      </c>
      <c r="F42" s="55">
        <v>1196.08</v>
      </c>
      <c r="G42" s="55">
        <v>434.78</v>
      </c>
      <c r="H42" s="55">
        <v>295.09</v>
      </c>
      <c r="I42" s="55">
        <v>6.8</v>
      </c>
      <c r="J42" s="55">
        <v>689.47</v>
      </c>
      <c r="K42" s="55">
        <v>296.48</v>
      </c>
      <c r="L42" s="55">
        <v>1036</v>
      </c>
      <c r="M42" s="55">
        <v>260.1</v>
      </c>
      <c r="O42" s="57">
        <v>0</v>
      </c>
      <c r="P42" s="57">
        <v>0</v>
      </c>
      <c r="Q42" s="57">
        <v>0</v>
      </c>
      <c r="R42" s="57">
        <v>0</v>
      </c>
      <c r="S42" s="57">
        <v>27</v>
      </c>
      <c r="T42" s="57">
        <v>0</v>
      </c>
      <c r="U42" s="57">
        <v>1</v>
      </c>
      <c r="V42" s="57">
        <v>0</v>
      </c>
      <c r="W42" s="57">
        <v>0</v>
      </c>
      <c r="X42" s="57">
        <v>27</v>
      </c>
      <c r="Y42" s="57">
        <v>1</v>
      </c>
      <c r="Z42" s="13">
        <v>0</v>
      </c>
    </row>
    <row r="43" spans="2:26" ht="12.75">
      <c r="B43" s="58" t="s">
        <v>114</v>
      </c>
      <c r="C43" s="43">
        <v>31</v>
      </c>
      <c r="D43" s="54">
        <v>3856.36</v>
      </c>
      <c r="E43" s="55">
        <f>D43/C43</f>
        <v>124.39870967741936</v>
      </c>
      <c r="F43" s="55">
        <v>1182.58</v>
      </c>
      <c r="G43" s="55">
        <v>573.02</v>
      </c>
      <c r="H43" s="55">
        <v>1139.42</v>
      </c>
      <c r="I43" s="55">
        <v>173.92</v>
      </c>
      <c r="J43" s="55">
        <v>486.35</v>
      </c>
      <c r="K43" s="55">
        <v>226.11</v>
      </c>
      <c r="L43" s="55"/>
      <c r="M43" s="55">
        <v>74.97</v>
      </c>
      <c r="O43" s="57">
        <v>0</v>
      </c>
      <c r="P43" s="57">
        <v>0</v>
      </c>
      <c r="Q43" s="57">
        <v>0</v>
      </c>
      <c r="R43" s="57">
        <v>0</v>
      </c>
      <c r="S43" s="57">
        <v>23</v>
      </c>
      <c r="T43" s="57">
        <v>0</v>
      </c>
      <c r="U43" s="57">
        <v>1</v>
      </c>
      <c r="V43" s="57">
        <v>7</v>
      </c>
      <c r="W43" s="57">
        <v>0</v>
      </c>
      <c r="X43" s="57">
        <v>29</v>
      </c>
      <c r="Y43" s="57">
        <v>2</v>
      </c>
      <c r="Z43" s="13">
        <v>2</v>
      </c>
    </row>
    <row r="44" spans="2:26" ht="12.75">
      <c r="B44" s="58" t="s">
        <v>115</v>
      </c>
      <c r="C44" s="43">
        <v>30</v>
      </c>
      <c r="D44" s="54">
        <v>3932.78</v>
      </c>
      <c r="E44" s="55">
        <f>D44/C44</f>
        <v>131.09266666666667</v>
      </c>
      <c r="F44" s="55">
        <v>1134.7</v>
      </c>
      <c r="G44" s="55">
        <v>623.66</v>
      </c>
      <c r="H44" s="55">
        <v>1381.6</v>
      </c>
      <c r="I44" s="55">
        <v>331.08</v>
      </c>
      <c r="J44" s="55">
        <v>431.74</v>
      </c>
      <c r="K44" s="55">
        <v>29.99</v>
      </c>
      <c r="L44" s="55"/>
      <c r="M44" s="55"/>
      <c r="O44" s="57">
        <v>0</v>
      </c>
      <c r="P44" s="57">
        <v>0</v>
      </c>
      <c r="Q44" s="57">
        <v>0</v>
      </c>
      <c r="R44" s="57">
        <v>0</v>
      </c>
      <c r="S44" s="57">
        <v>16</v>
      </c>
      <c r="T44" s="57">
        <v>0</v>
      </c>
      <c r="U44" s="57">
        <v>2</v>
      </c>
      <c r="V44" s="57">
        <v>12</v>
      </c>
      <c r="W44" s="57">
        <v>0</v>
      </c>
      <c r="X44" s="57">
        <v>28</v>
      </c>
      <c r="Y44" s="57">
        <v>2</v>
      </c>
      <c r="Z44" s="13">
        <v>0</v>
      </c>
    </row>
    <row r="45" spans="2:25" ht="12.75">
      <c r="B45" s="58"/>
      <c r="D45" s="54"/>
      <c r="E45" s="55" t="e">
        <f>D45/C45</f>
        <v>#DIV/0!</v>
      </c>
      <c r="F45" s="55"/>
      <c r="G45" s="55"/>
      <c r="H45" s="55"/>
      <c r="I45" s="55"/>
      <c r="J45" s="55"/>
      <c r="K45" s="55"/>
      <c r="L45" s="55"/>
      <c r="M45" s="55"/>
      <c r="O45" s="57"/>
      <c r="P45" s="57"/>
      <c r="Q45" s="57"/>
      <c r="R45" s="57"/>
      <c r="S45" s="57"/>
      <c r="T45" s="57"/>
      <c r="U45" s="57"/>
      <c r="V45" s="57"/>
      <c r="W45" s="57"/>
      <c r="X45" s="57"/>
      <c r="Y45" s="57"/>
    </row>
    <row r="46" spans="2:25" ht="12.75">
      <c r="B46" s="58"/>
      <c r="D46" s="54"/>
      <c r="E46" s="55"/>
      <c r="F46" s="55"/>
      <c r="G46" s="55"/>
      <c r="H46" s="55"/>
      <c r="I46" s="55"/>
      <c r="J46" s="55"/>
      <c r="K46" s="55"/>
      <c r="L46" s="55"/>
      <c r="M46" s="55"/>
      <c r="O46" s="57"/>
      <c r="P46" s="57"/>
      <c r="Q46" s="57"/>
      <c r="R46" s="57"/>
      <c r="S46" s="57"/>
      <c r="T46" s="57"/>
      <c r="U46" s="57"/>
      <c r="V46" s="57"/>
      <c r="W46" s="57"/>
      <c r="X46" s="57"/>
      <c r="Y46" s="57"/>
    </row>
    <row r="47" spans="4:25" ht="12.75">
      <c r="D47" s="54"/>
      <c r="E47" s="55"/>
      <c r="F47" s="55"/>
      <c r="G47" s="55"/>
      <c r="H47" s="55"/>
      <c r="I47" s="55"/>
      <c r="J47" s="55"/>
      <c r="K47" s="55"/>
      <c r="L47" s="55"/>
      <c r="M47" s="55"/>
      <c r="O47" s="57"/>
      <c r="P47" s="57"/>
      <c r="Q47" s="57"/>
      <c r="R47" s="57"/>
      <c r="S47" s="57"/>
      <c r="T47" s="57"/>
      <c r="U47" s="57"/>
      <c r="V47" s="57"/>
      <c r="W47" s="57"/>
      <c r="X47" s="57"/>
      <c r="Y47" s="57"/>
    </row>
    <row r="48" spans="5:25" ht="12.75">
      <c r="E48" s="55"/>
      <c r="F48" s="55"/>
      <c r="G48" s="55"/>
      <c r="H48" s="55"/>
      <c r="I48" s="55"/>
      <c r="J48" s="55"/>
      <c r="K48" s="55"/>
      <c r="L48" s="55"/>
      <c r="M48" s="55"/>
      <c r="O48" s="57"/>
      <c r="P48" s="57"/>
      <c r="Q48" s="57"/>
      <c r="R48" s="57"/>
      <c r="S48" s="57"/>
      <c r="T48" s="57"/>
      <c r="U48" s="57"/>
      <c r="V48" s="57"/>
      <c r="W48" s="57"/>
      <c r="X48" s="57"/>
      <c r="Y48" s="57"/>
    </row>
    <row r="49" spans="2:27" s="1" customFormat="1" ht="12.75">
      <c r="B49" s="43" t="s">
        <v>116</v>
      </c>
      <c r="C49" s="43">
        <f>SUM(C2:C48)</f>
        <v>1310</v>
      </c>
      <c r="D49" s="54">
        <f>SUM(D2:D48)</f>
        <v>129842.23193121742</v>
      </c>
      <c r="E49" s="55">
        <f>D49/C49</f>
        <v>99.11620758108201</v>
      </c>
      <c r="F49" s="55">
        <f>SUM(F2:F48)</f>
        <v>37207.533499768506</v>
      </c>
      <c r="G49" s="55">
        <f>SUM(G2:G48)</f>
        <v>24501.066192101312</v>
      </c>
      <c r="H49" s="55">
        <f>SUM(H2:H48)</f>
        <v>27131.053224435298</v>
      </c>
      <c r="I49" s="55">
        <f>SUM(I2:I48)</f>
        <v>10038.252512179077</v>
      </c>
      <c r="J49" s="55">
        <f>SUM(J2:J48)</f>
        <v>15958.236314655092</v>
      </c>
      <c r="K49" s="55">
        <f>SUM(K2:K48)</f>
        <v>5665.354483922728</v>
      </c>
      <c r="L49" s="55">
        <f>SUM(L2:L48)</f>
        <v>3427.13</v>
      </c>
      <c r="M49" s="55">
        <f>SUM(M2:M48)</f>
        <v>5913.530000000001</v>
      </c>
      <c r="N49" s="56">
        <f>SUM(N2:N48)</f>
        <v>0</v>
      </c>
      <c r="O49" s="57">
        <f>SUM(O2:O48)</f>
        <v>25</v>
      </c>
      <c r="P49" s="57">
        <f>SUM(P2:P48)</f>
        <v>70</v>
      </c>
      <c r="Q49" s="57">
        <f>SUM(Q5:Q48)</f>
        <v>15</v>
      </c>
      <c r="R49" s="57">
        <f>SUM(R2:R48)</f>
        <v>99</v>
      </c>
      <c r="S49" s="57">
        <f>SUM(S2:S48)</f>
        <v>843</v>
      </c>
      <c r="T49" s="57">
        <f>SUM(T2:T48)</f>
        <v>6</v>
      </c>
      <c r="U49" s="57">
        <f>SUM(U2:U48)</f>
        <v>53</v>
      </c>
      <c r="V49" s="57">
        <f>SUM(V2:V48)</f>
        <v>144</v>
      </c>
      <c r="W49" s="57">
        <f>SUM(W2:W48)</f>
        <v>53</v>
      </c>
      <c r="X49" s="57">
        <f>SUM(X2:X48)</f>
        <v>959</v>
      </c>
      <c r="Y49" s="57">
        <f>SUM(Y2:Y48)</f>
        <v>351</v>
      </c>
      <c r="Z49" s="13">
        <f>SUM(Z2:Z48)</f>
        <v>143</v>
      </c>
      <c r="AA49" s="34"/>
    </row>
    <row r="50" spans="2:27" s="1" customFormat="1" ht="12.75">
      <c r="B50" s="43" t="s">
        <v>117</v>
      </c>
      <c r="C50" s="43"/>
      <c r="D50" s="54">
        <f>D49/$C$49</f>
        <v>99.11620758108201</v>
      </c>
      <c r="E50" s="54"/>
      <c r="F50" s="55">
        <f>F49/$C$49</f>
        <v>28.40269732806756</v>
      </c>
      <c r="G50" s="55">
        <f>G49/$C$49</f>
        <v>18.703103963436117</v>
      </c>
      <c r="H50" s="55">
        <f>H49/$C$49</f>
        <v>20.710727652240685</v>
      </c>
      <c r="I50" s="55">
        <f>I49/$C$49</f>
        <v>7.662788177235936</v>
      </c>
      <c r="J50" s="55">
        <f>J49/$C$49</f>
        <v>12.18185978217946</v>
      </c>
      <c r="K50" s="55">
        <f>K49/$C$49</f>
        <v>4.324698079330327</v>
      </c>
      <c r="L50" s="55">
        <f>L49/$C$49</f>
        <v>2.6161297709923663</v>
      </c>
      <c r="M50" s="55">
        <f>M49/$C$49</f>
        <v>4.514145038167939</v>
      </c>
      <c r="N50" s="56"/>
      <c r="O50" s="57"/>
      <c r="P50" s="57"/>
      <c r="Q50" s="57"/>
      <c r="R50" s="57"/>
      <c r="S50" s="57"/>
      <c r="T50" s="57"/>
      <c r="U50" s="57"/>
      <c r="V50" s="57"/>
      <c r="W50" s="57"/>
      <c r="X50" s="57"/>
      <c r="Y50" s="57"/>
      <c r="Z50" s="13"/>
      <c r="AA50" s="34"/>
    </row>
    <row r="51" spans="2:27" s="1" customFormat="1" ht="12.75">
      <c r="B51" s="43" t="s">
        <v>118</v>
      </c>
      <c r="C51" s="43">
        <f>COUNTA(B2:B48)</f>
        <v>43</v>
      </c>
      <c r="D51" s="54">
        <f>D49/$C$51</f>
        <v>3019.5867890980794</v>
      </c>
      <c r="E51" s="54"/>
      <c r="F51" s="55">
        <f>F49/$C$51</f>
        <v>865.2914767388024</v>
      </c>
      <c r="G51" s="55">
        <f>G49/$C$51</f>
        <v>569.7922370256119</v>
      </c>
      <c r="H51" s="55">
        <f>H49/$C$51</f>
        <v>630.9547261496581</v>
      </c>
      <c r="I51" s="55">
        <f>I49/$C$51</f>
        <v>233.4477328413739</v>
      </c>
      <c r="J51" s="55">
        <f>J49/$C$51</f>
        <v>371.12177475942076</v>
      </c>
      <c r="K51" s="55">
        <f>K49/$C$51</f>
        <v>131.75242985866808</v>
      </c>
      <c r="L51" s="55">
        <f>L49/$C$51</f>
        <v>79.7006976744186</v>
      </c>
      <c r="M51" s="55">
        <f>M49/$C$51</f>
        <v>137.52395348837211</v>
      </c>
      <c r="N51" s="56"/>
      <c r="O51" s="57"/>
      <c r="P51" s="57"/>
      <c r="Q51" s="57"/>
      <c r="R51" s="57"/>
      <c r="S51" s="57"/>
      <c r="T51" s="57"/>
      <c r="U51" s="57"/>
      <c r="V51" s="57"/>
      <c r="W51" s="57"/>
      <c r="X51" s="57"/>
      <c r="Y51" s="57"/>
      <c r="Z51" s="13"/>
      <c r="AA51" s="34"/>
    </row>
    <row r="52" spans="15:25" ht="12.75">
      <c r="O52" s="57"/>
      <c r="P52" s="57"/>
      <c r="Q52" s="57"/>
      <c r="R52" s="57"/>
      <c r="S52" s="57"/>
      <c r="T52" s="57"/>
      <c r="U52" s="57"/>
      <c r="V52" s="57"/>
      <c r="W52" s="57"/>
      <c r="X52" s="57"/>
      <c r="Y52" s="57"/>
    </row>
  </sheetData>
  <sheetProtection selectLockedCells="1" selectUnlockedCells="1"/>
  <printOptions/>
  <pageMargins left="0" right="0" top="0.1388888888888889" bottom="0.1388888888888889" header="0" footer="0"/>
  <pageSetup horizontalDpi="300" verticalDpi="300" orientation="portrait" paperSize="9"/>
  <headerFooter alignWithMargins="0">
    <oddHeader>&amp;C&amp;10&amp;A</oddHeader>
    <oddFooter>&amp;C&amp;10Page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C135"/>
  <sheetViews>
    <sheetView zoomScale="95" zoomScaleNormal="95" workbookViewId="0" topLeftCell="A27">
      <selection activeCell="A56" sqref="A56"/>
    </sheetView>
  </sheetViews>
  <sheetFormatPr defaultColWidth="11.00390625" defaultRowHeight="14.25"/>
  <cols>
    <col min="1" max="1" width="13.125" style="34" customWidth="1"/>
    <col min="2" max="2" width="9.00390625" style="34" customWidth="1"/>
    <col min="3" max="3" width="11.25390625" style="34" customWidth="1"/>
    <col min="4" max="4" width="13.125" style="34" customWidth="1"/>
    <col min="5" max="5" width="9.875" style="34" customWidth="1"/>
    <col min="6" max="6" width="11.00390625" style="34" customWidth="1"/>
    <col min="7" max="8" width="8.125" style="34" customWidth="1"/>
    <col min="9" max="9" width="10.125" style="34" customWidth="1"/>
    <col min="10" max="10" width="9.125" style="34" customWidth="1"/>
    <col min="11" max="11" width="11.00390625" style="34" customWidth="1"/>
    <col min="12" max="12" width="12.25390625" style="34" customWidth="1"/>
    <col min="13" max="13" width="12.875" style="34" customWidth="1"/>
    <col min="14" max="18" width="7.75390625" style="34" customWidth="1"/>
    <col min="19" max="19" width="15.25390625" style="34" customWidth="1"/>
    <col min="20" max="20" width="5.00390625" style="34" customWidth="1"/>
    <col min="21" max="21" width="10.625" style="34" customWidth="1"/>
    <col min="22" max="22" width="6.875" style="34" customWidth="1"/>
    <col min="23" max="23" width="3.25390625" style="34" customWidth="1"/>
    <col min="24" max="24" width="8.375" style="34" customWidth="1"/>
    <col min="25" max="26" width="6.50390625" style="34" customWidth="1"/>
    <col min="27" max="27" width="7.00390625" style="34" customWidth="1"/>
    <col min="28" max="28" width="29.875" style="34" customWidth="1"/>
    <col min="29" max="29" width="15.25390625" style="34" customWidth="1"/>
    <col min="30" max="30" width="8.125" style="34" customWidth="1"/>
    <col min="31" max="31" width="9.00390625" style="40" customWidth="1"/>
    <col min="32" max="32" width="1.4921875" style="34" customWidth="1"/>
    <col min="33" max="33" width="2.75390625" style="34" customWidth="1"/>
    <col min="34" max="34" width="1.875" style="34" customWidth="1"/>
    <col min="35" max="35" width="16.50390625" style="34" customWidth="1"/>
    <col min="36" max="36" width="8.25390625" style="34" customWidth="1"/>
    <col min="37" max="37" width="1.4921875" style="34" customWidth="1"/>
    <col min="38" max="38" width="16.875" style="34" customWidth="1"/>
    <col min="39" max="39" width="14.25390625" style="34" customWidth="1"/>
    <col min="40" max="40" width="2.00390625" style="34" customWidth="1"/>
    <col min="41" max="41" width="22.125" style="34" customWidth="1"/>
    <col min="42" max="42" width="10.625" style="34" customWidth="1"/>
    <col min="43" max="43" width="2.375" style="34" customWidth="1"/>
    <col min="44" max="44" width="15.125" style="34" customWidth="1"/>
    <col min="45" max="45" width="10.625" style="34" customWidth="1"/>
    <col min="46" max="46" width="2.625" style="34" customWidth="1"/>
    <col min="47" max="47" width="14.625" style="34" customWidth="1"/>
    <col min="48" max="48" width="7.375" style="34" customWidth="1"/>
    <col min="49" max="49" width="10.625" style="34" customWidth="1"/>
    <col min="50" max="50" width="11.875" style="34" customWidth="1"/>
    <col min="51" max="51" width="13.875" style="34" customWidth="1"/>
    <col min="52" max="53" width="10.625" style="34" customWidth="1"/>
    <col min="54" max="54" width="13.50390625" style="34" customWidth="1"/>
    <col min="55" max="16384" width="10.625" style="34" customWidth="1"/>
  </cols>
  <sheetData>
    <row r="1" spans="1:33" ht="12.75">
      <c r="A1" s="59" t="s">
        <v>119</v>
      </c>
      <c r="B1" s="34" t="s">
        <v>120</v>
      </c>
      <c r="C1" s="34" t="s">
        <v>121</v>
      </c>
      <c r="D1" s="34" t="s">
        <v>122</v>
      </c>
      <c r="E1" s="34" t="s">
        <v>123</v>
      </c>
      <c r="F1" s="34" t="s">
        <v>124</v>
      </c>
      <c r="G1" s="34" t="s">
        <v>125</v>
      </c>
      <c r="H1" s="34" t="s">
        <v>126</v>
      </c>
      <c r="I1" s="34" t="s">
        <v>127</v>
      </c>
      <c r="J1" s="34" t="s">
        <v>128</v>
      </c>
      <c r="K1" s="34" t="s">
        <v>129</v>
      </c>
      <c r="L1" s="34" t="s">
        <v>130</v>
      </c>
      <c r="M1" s="34" t="s">
        <v>131</v>
      </c>
      <c r="N1" s="34" t="s">
        <v>63</v>
      </c>
      <c r="O1" s="34" t="s">
        <v>132</v>
      </c>
      <c r="P1" s="34" t="s">
        <v>62</v>
      </c>
      <c r="Q1" s="34" t="s">
        <v>133</v>
      </c>
      <c r="R1" s="34" t="s">
        <v>134</v>
      </c>
      <c r="S1" s="34" t="s">
        <v>135</v>
      </c>
      <c r="T1" s="34" t="s">
        <v>136</v>
      </c>
      <c r="U1" s="34" t="s">
        <v>137</v>
      </c>
      <c r="V1" s="34" t="s">
        <v>138</v>
      </c>
      <c r="W1" s="34" t="s">
        <v>139</v>
      </c>
      <c r="X1" s="34" t="s">
        <v>140</v>
      </c>
      <c r="Y1" s="34" t="s">
        <v>141</v>
      </c>
      <c r="Z1" s="34" t="s">
        <v>142</v>
      </c>
      <c r="AA1" s="34" t="s">
        <v>143</v>
      </c>
      <c r="AC1" s="34" t="s">
        <v>144</v>
      </c>
      <c r="AD1" s="34" t="s">
        <v>145</v>
      </c>
      <c r="AE1" s="60" t="s">
        <v>146</v>
      </c>
      <c r="AG1" s="34" t="s">
        <v>147</v>
      </c>
    </row>
    <row r="2" spans="1:55" ht="12.75">
      <c r="A2" s="61">
        <v>43466</v>
      </c>
      <c r="B2" s="4"/>
      <c r="C2" s="34">
        <f>B2*AD2</f>
        <v>0</v>
      </c>
      <c r="D2" s="4">
        <v>88000</v>
      </c>
      <c r="E2" s="34">
        <f>D2*AD2</f>
        <v>15.815653333333332</v>
      </c>
      <c r="F2" s="4">
        <v>120000</v>
      </c>
      <c r="G2" s="34">
        <f>F2*AD2</f>
        <v>21.566799999999997</v>
      </c>
      <c r="H2" s="4"/>
      <c r="I2" s="34">
        <f>H2*AD2</f>
        <v>0</v>
      </c>
      <c r="J2" s="4"/>
      <c r="K2" s="34">
        <f>J2*AD2</f>
        <v>0</v>
      </c>
      <c r="L2" s="4">
        <v>155000</v>
      </c>
      <c r="M2" s="34">
        <f>L2*AD2</f>
        <v>27.857116666666663</v>
      </c>
      <c r="O2" s="34">
        <f>N2*AD2</f>
        <v>0</v>
      </c>
      <c r="Q2" s="34">
        <f>P2*AD2</f>
        <v>0</v>
      </c>
      <c r="R2" s="4"/>
      <c r="S2" s="4"/>
      <c r="T2" s="4" t="s">
        <v>148</v>
      </c>
      <c r="U2" s="4"/>
      <c r="V2" s="4"/>
      <c r="W2" s="4"/>
      <c r="X2" s="4"/>
      <c r="Y2" s="4"/>
      <c r="Z2" s="4"/>
      <c r="AA2" s="4"/>
      <c r="AB2" s="4" t="s">
        <v>149</v>
      </c>
      <c r="AC2" s="34">
        <f>B2+D2+F2+H2+J2+L2+N2+P2</f>
        <v>363000</v>
      </c>
      <c r="AD2" s="62">
        <f>539.17/3000000</f>
        <v>0.0001797233333333333</v>
      </c>
      <c r="AE2" s="62">
        <f>AC2*AD2</f>
        <v>65.23956999999999</v>
      </c>
      <c r="AG2" s="34">
        <v>26</v>
      </c>
      <c r="AI2" s="34" t="s">
        <v>150</v>
      </c>
      <c r="AJ2" s="60">
        <f>SUM($AE$2:$AE$994)</f>
        <v>2994.9033800000007</v>
      </c>
      <c r="AL2" s="34" t="s">
        <v>151</v>
      </c>
      <c r="AM2" s="63">
        <f>$AJ$2/$AJ$5</f>
        <v>96.60978645161292</v>
      </c>
      <c r="AO2" s="34" t="s">
        <v>152</v>
      </c>
      <c r="AP2" s="34">
        <f>COUNTBLANK(L2:L40)-COUNTBLANK(A2:A40)</f>
        <v>1</v>
      </c>
      <c r="AQ2" s="64"/>
      <c r="AR2" s="64"/>
      <c r="AS2" s="64"/>
      <c r="AT2" s="64"/>
      <c r="AU2" s="64" t="s">
        <v>153</v>
      </c>
      <c r="AV2" s="64">
        <f>SUMIF($AG$2:$AG$44,"=17",$AE$2:$AE$44)</f>
        <v>0</v>
      </c>
      <c r="AW2" s="64"/>
      <c r="AX2" s="64" t="s">
        <v>154</v>
      </c>
      <c r="AY2" s="64">
        <f>SUMIF($AG$2:$AG$44,"=18",$AE$2:$AE$44)</f>
        <v>0</v>
      </c>
      <c r="AZ2" s="64"/>
      <c r="BB2" s="41"/>
      <c r="BC2" s="41"/>
    </row>
    <row r="3" spans="1:55" ht="12.75">
      <c r="A3" s="2">
        <v>43467</v>
      </c>
      <c r="B3" s="4">
        <f>30000*2</f>
        <v>60000</v>
      </c>
      <c r="C3" s="34">
        <f>B3*AD3</f>
        <v>10.783399999999999</v>
      </c>
      <c r="D3" s="4">
        <f>130000</f>
        <v>130000</v>
      </c>
      <c r="E3" s="34">
        <f>D3*AD3</f>
        <v>23.36403333333333</v>
      </c>
      <c r="F3" s="4">
        <v>80000</v>
      </c>
      <c r="G3" s="34">
        <f>F3*AD3</f>
        <v>14.377866666666664</v>
      </c>
      <c r="H3" s="4"/>
      <c r="I3" s="34">
        <f>H3*AD3</f>
        <v>0</v>
      </c>
      <c r="J3" s="4"/>
      <c r="K3" s="34">
        <f>J3*AD3</f>
        <v>0</v>
      </c>
      <c r="L3" s="4">
        <v>170000</v>
      </c>
      <c r="M3" s="34">
        <f>L3*AD3</f>
        <v>30.552966666666663</v>
      </c>
      <c r="O3" s="34">
        <f>N3*AD3</f>
        <v>0</v>
      </c>
      <c r="Q3" s="34">
        <f>P3*AD3</f>
        <v>0</v>
      </c>
      <c r="R3" s="4"/>
      <c r="S3" s="4"/>
      <c r="T3" s="4" t="s">
        <v>148</v>
      </c>
      <c r="U3" s="4"/>
      <c r="V3" s="4"/>
      <c r="W3" s="4"/>
      <c r="X3" s="4"/>
      <c r="Y3" s="4"/>
      <c r="Z3" s="4"/>
      <c r="AA3" s="4"/>
      <c r="AB3" s="4" t="s">
        <v>155</v>
      </c>
      <c r="AC3" s="34">
        <f>B3+D3+F3+H3+J3+L3+N3+P3</f>
        <v>440000</v>
      </c>
      <c r="AD3" s="62">
        <f>539.17/3000000</f>
        <v>0.0001797233333333333</v>
      </c>
      <c r="AE3" s="62">
        <f>AC3*AD3</f>
        <v>79.07826666666665</v>
      </c>
      <c r="AG3" s="34">
        <v>26</v>
      </c>
      <c r="AI3" s="65"/>
      <c r="AL3" s="65"/>
      <c r="AM3" s="63"/>
      <c r="AO3" s="34" t="s">
        <v>156</v>
      </c>
      <c r="AP3" s="34">
        <f>COUNT(L2:L36)</f>
        <v>30</v>
      </c>
      <c r="AR3" s="64"/>
      <c r="AS3" s="64"/>
      <c r="AT3" s="64"/>
      <c r="AU3" s="64" t="s">
        <v>157</v>
      </c>
      <c r="AV3" s="64">
        <f>_xlfn.COUNTIFS($A$2:$A$44,"&lt;&gt;''",$AG$2:$AG$44,"=17")</f>
        <v>0</v>
      </c>
      <c r="AW3" s="64"/>
      <c r="AX3" s="64" t="s">
        <v>158</v>
      </c>
      <c r="AY3" s="64">
        <f>_xlfn.COUNTIFS($A$2:$A$44,"&lt;&gt;''",$AG$2:$AG$44,"=18")</f>
        <v>0</v>
      </c>
      <c r="AZ3" s="64"/>
      <c r="BB3" s="41"/>
      <c r="BC3" s="41"/>
    </row>
    <row r="4" spans="1:55" ht="14.25">
      <c r="A4" s="2">
        <v>43468</v>
      </c>
      <c r="B4" s="4"/>
      <c r="C4" s="34">
        <f>B4*AD4</f>
        <v>0</v>
      </c>
      <c r="D4" s="4">
        <v>115000</v>
      </c>
      <c r="E4" s="34">
        <f>D4*AD4</f>
        <v>20.66818333333333</v>
      </c>
      <c r="F4" s="4">
        <v>80000</v>
      </c>
      <c r="G4" s="34">
        <f>F4*AD4</f>
        <v>14.377866666666664</v>
      </c>
      <c r="H4" s="4"/>
      <c r="I4" s="34">
        <f>H4*AD4</f>
        <v>0</v>
      </c>
      <c r="J4" s="4"/>
      <c r="K4" s="34">
        <f>J4*AD4</f>
        <v>0</v>
      </c>
      <c r="L4" s="4">
        <v>170000</v>
      </c>
      <c r="M4" s="34">
        <f>L4*AD4</f>
        <v>30.552966666666663</v>
      </c>
      <c r="O4" s="34">
        <f>N4*AD4</f>
        <v>0</v>
      </c>
      <c r="Q4" s="34">
        <f>P4*AD4</f>
        <v>0</v>
      </c>
      <c r="R4" s="4"/>
      <c r="S4" s="4"/>
      <c r="T4" s="4" t="s">
        <v>148</v>
      </c>
      <c r="U4" s="4"/>
      <c r="V4" s="4"/>
      <c r="W4" s="4"/>
      <c r="X4" s="4"/>
      <c r="Y4" s="4"/>
      <c r="Z4" s="4"/>
      <c r="AA4" s="4"/>
      <c r="AB4" s="4" t="s">
        <v>159</v>
      </c>
      <c r="AC4" s="34">
        <f>B4+D4+F4+H4+J4+L4+N4+P4</f>
        <v>365000</v>
      </c>
      <c r="AD4" s="62">
        <f>539.17/3000000</f>
        <v>0.0001797233333333333</v>
      </c>
      <c r="AE4" s="62">
        <f>AC4*AD4</f>
        <v>65.59901666666666</v>
      </c>
      <c r="AG4" s="34">
        <v>26</v>
      </c>
      <c r="AO4" s="34" t="s">
        <v>160</v>
      </c>
      <c r="AP4" s="34">
        <f>COUNTA(W2:W49)</f>
        <v>0</v>
      </c>
      <c r="AR4" s="64"/>
      <c r="AS4" s="64"/>
      <c r="AT4" s="64"/>
      <c r="AU4" s="64" t="s">
        <v>161</v>
      </c>
      <c r="AV4" s="64" t="e">
        <f>AV2/AV3</f>
        <v>#DIV/0!</v>
      </c>
      <c r="AW4" s="64"/>
      <c r="AX4" s="64" t="s">
        <v>162</v>
      </c>
      <c r="AY4" s="64" t="e">
        <f>AY2/AY3</f>
        <v>#DIV/0!</v>
      </c>
      <c r="AZ4" s="64"/>
      <c r="BB4" s="41"/>
      <c r="BC4" s="41"/>
    </row>
    <row r="5" spans="1:42" ht="14.25">
      <c r="A5" s="2">
        <v>43469</v>
      </c>
      <c r="B5" s="4"/>
      <c r="C5" s="34">
        <f>B5*AD5</f>
        <v>0</v>
      </c>
      <c r="D5" s="4">
        <v>139000</v>
      </c>
      <c r="E5" s="34">
        <f>D5*AD5</f>
        <v>24.98154333333333</v>
      </c>
      <c r="F5" s="4">
        <v>80000</v>
      </c>
      <c r="G5" s="34">
        <f>F5*AD5</f>
        <v>14.377866666666664</v>
      </c>
      <c r="H5" s="4"/>
      <c r="I5" s="34">
        <f>H5*AD5</f>
        <v>0</v>
      </c>
      <c r="J5" s="4"/>
      <c r="K5" s="34">
        <f>J5*AD5</f>
        <v>0</v>
      </c>
      <c r="L5" s="4">
        <v>170000</v>
      </c>
      <c r="M5" s="34">
        <f>L5*AD5</f>
        <v>30.552966666666663</v>
      </c>
      <c r="O5" s="34">
        <f>N5*AD5</f>
        <v>0</v>
      </c>
      <c r="Q5" s="34">
        <f>P5*AD5</f>
        <v>0</v>
      </c>
      <c r="R5" s="4"/>
      <c r="S5" s="4"/>
      <c r="T5" s="4" t="s">
        <v>148</v>
      </c>
      <c r="U5" s="4"/>
      <c r="V5" s="4"/>
      <c r="W5" s="4"/>
      <c r="X5" s="4"/>
      <c r="Y5" s="4"/>
      <c r="Z5" s="4"/>
      <c r="AA5" s="4"/>
      <c r="AB5" s="4" t="s">
        <v>159</v>
      </c>
      <c r="AC5" s="34">
        <f>B5+D5+F5+H5+J5+L5+N5+P5</f>
        <v>389000</v>
      </c>
      <c r="AD5" s="62">
        <f>539.17/3000000</f>
        <v>0.0001797233333333333</v>
      </c>
      <c r="AE5" s="62">
        <f>AC5*AD5</f>
        <v>69.91237666666666</v>
      </c>
      <c r="AG5" s="34">
        <v>26</v>
      </c>
      <c r="AI5" s="34" t="s">
        <v>163</v>
      </c>
      <c r="AJ5" s="34">
        <f>COUNTA(A2:A349)</f>
        <v>31</v>
      </c>
      <c r="AO5" s="34" t="s">
        <v>164</v>
      </c>
      <c r="AP5" s="34">
        <f>COUNTA(R2:R49)</f>
        <v>0</v>
      </c>
    </row>
    <row r="6" spans="1:42" ht="14.25">
      <c r="A6" s="2">
        <v>43470</v>
      </c>
      <c r="B6" s="4"/>
      <c r="C6" s="34">
        <f>B6*AD6</f>
        <v>0</v>
      </c>
      <c r="D6" s="4">
        <v>98500</v>
      </c>
      <c r="E6" s="34">
        <f>D6*AD6</f>
        <v>17.702748333333332</v>
      </c>
      <c r="F6" s="4">
        <v>80000</v>
      </c>
      <c r="G6" s="34">
        <f>F6*AD6</f>
        <v>14.377866666666664</v>
      </c>
      <c r="H6" s="4"/>
      <c r="I6" s="34">
        <f>H6*AD6</f>
        <v>0</v>
      </c>
      <c r="J6" s="4">
        <v>10000</v>
      </c>
      <c r="K6" s="34">
        <f>J6*AD6</f>
        <v>1.797233333333333</v>
      </c>
      <c r="L6" s="4">
        <v>135000</v>
      </c>
      <c r="M6" s="34">
        <f>L6*AD6</f>
        <v>24.262649999999997</v>
      </c>
      <c r="O6" s="34">
        <f>N6*AD6</f>
        <v>0</v>
      </c>
      <c r="Q6" s="34">
        <f>P6*AD6</f>
        <v>0</v>
      </c>
      <c r="R6" s="4"/>
      <c r="S6" s="4"/>
      <c r="T6" s="4" t="s">
        <v>148</v>
      </c>
      <c r="U6" s="4"/>
      <c r="V6" s="4"/>
      <c r="W6" s="4"/>
      <c r="X6" s="4"/>
      <c r="Y6" s="4"/>
      <c r="Z6" s="4"/>
      <c r="AA6" s="4"/>
      <c r="AB6" s="4" t="s">
        <v>159</v>
      </c>
      <c r="AC6" s="34">
        <f>B6+D6+F6+H6+J6+L6+N6+P6</f>
        <v>323500</v>
      </c>
      <c r="AD6" s="62">
        <f>539.17/3000000</f>
        <v>0.0001797233333333333</v>
      </c>
      <c r="AE6" s="62">
        <f>AC6*AD6</f>
        <v>58.140498333333326</v>
      </c>
      <c r="AG6" s="34">
        <v>26</v>
      </c>
      <c r="AI6" s="65"/>
      <c r="AO6" s="34" t="s">
        <v>165</v>
      </c>
      <c r="AP6" s="34">
        <f>COUNTA(T2:T49)</f>
        <v>30</v>
      </c>
    </row>
    <row r="7" spans="1:42" ht="14.25">
      <c r="A7" s="2">
        <v>43471</v>
      </c>
      <c r="B7" s="4"/>
      <c r="C7" s="34">
        <f>B7*AD7</f>
        <v>0</v>
      </c>
      <c r="D7" s="4">
        <f>158000</f>
        <v>158000</v>
      </c>
      <c r="E7" s="34">
        <f>D7*AD7</f>
        <v>28.39628666666666</v>
      </c>
      <c r="F7" s="4">
        <v>80000</v>
      </c>
      <c r="G7" s="34">
        <f>F7*AD7</f>
        <v>14.377866666666664</v>
      </c>
      <c r="H7" s="4"/>
      <c r="I7" s="34">
        <f>H7*AD7</f>
        <v>0</v>
      </c>
      <c r="J7" s="4"/>
      <c r="K7" s="34">
        <f>J7*AD7</f>
        <v>0</v>
      </c>
      <c r="L7" s="4">
        <v>135000</v>
      </c>
      <c r="M7" s="34">
        <f>L7*AD7</f>
        <v>24.262649999999997</v>
      </c>
      <c r="O7" s="34">
        <f>N7*AD7</f>
        <v>0</v>
      </c>
      <c r="Q7" s="34">
        <f>P7*AD7</f>
        <v>0</v>
      </c>
      <c r="R7" s="4"/>
      <c r="S7" s="4"/>
      <c r="T7" s="4" t="s">
        <v>148</v>
      </c>
      <c r="U7" s="4"/>
      <c r="V7" s="4"/>
      <c r="W7" s="4"/>
      <c r="X7" s="4"/>
      <c r="Y7" s="4"/>
      <c r="Z7" s="4"/>
      <c r="AA7" s="4"/>
      <c r="AB7" s="4" t="s">
        <v>159</v>
      </c>
      <c r="AC7" s="34">
        <f>B7+D7+F7+H7+J7+L7+N7+P7</f>
        <v>373000</v>
      </c>
      <c r="AD7" s="62">
        <f>539.17/3000000</f>
        <v>0.0001797233333333333</v>
      </c>
      <c r="AE7" s="62">
        <f>AC7*AD7</f>
        <v>67.03680333333332</v>
      </c>
      <c r="AG7" s="34">
        <v>26</v>
      </c>
      <c r="AL7" s="34" t="s">
        <v>166</v>
      </c>
      <c r="AO7" s="34" t="s">
        <v>137</v>
      </c>
      <c r="AP7" s="34">
        <f>COUNTA(U2:U49)</f>
        <v>0</v>
      </c>
    </row>
    <row r="8" spans="1:42" ht="14.25">
      <c r="A8" s="2">
        <v>43472</v>
      </c>
      <c r="B8" s="4">
        <f>370000*2+60000</f>
        <v>800000</v>
      </c>
      <c r="C8" s="34">
        <f>B8*AD8</f>
        <v>136</v>
      </c>
      <c r="D8" s="4"/>
      <c r="E8" s="34">
        <f>D8*AD8</f>
        <v>0</v>
      </c>
      <c r="F8" s="4">
        <f>30000*2+40000*2</f>
        <v>140000</v>
      </c>
      <c r="G8" s="34">
        <f>F8*AD8</f>
        <v>23.8</v>
      </c>
      <c r="H8" s="4"/>
      <c r="I8" s="34">
        <f>H8*AD8</f>
        <v>0</v>
      </c>
      <c r="J8" s="4"/>
      <c r="K8" s="34">
        <f>J8*AD8</f>
        <v>0</v>
      </c>
      <c r="L8" s="4"/>
      <c r="M8" s="34">
        <f>L8*AD8</f>
        <v>0</v>
      </c>
      <c r="O8" s="34">
        <f>N8*AD8</f>
        <v>0</v>
      </c>
      <c r="Q8" s="34">
        <f>P8*AD8</f>
        <v>0</v>
      </c>
      <c r="R8" s="4"/>
      <c r="S8" s="4"/>
      <c r="T8" s="4"/>
      <c r="U8" s="4"/>
      <c r="V8" s="4"/>
      <c r="W8" s="4"/>
      <c r="X8" s="4"/>
      <c r="Y8" s="4"/>
      <c r="Z8" s="4" t="s">
        <v>148</v>
      </c>
      <c r="AA8" s="4"/>
      <c r="AB8" s="4" t="s">
        <v>167</v>
      </c>
      <c r="AC8" s="34">
        <f>B8+D8+F8+H8+J8+L8+N8+P8</f>
        <v>940000</v>
      </c>
      <c r="AD8" s="62">
        <f>510/3000000</f>
        <v>0.00017</v>
      </c>
      <c r="AE8" s="62">
        <f>AC8*AD8</f>
        <v>159.8</v>
      </c>
      <c r="AG8" s="34">
        <v>26</v>
      </c>
      <c r="AI8" s="34" t="s">
        <v>168</v>
      </c>
      <c r="AJ8" s="60">
        <f>SUM(M2:M994)</f>
        <v>1009.9591966666667</v>
      </c>
      <c r="AL8" s="34" t="s">
        <v>130</v>
      </c>
      <c r="AM8" s="60">
        <f>AJ8/$AJ$5</f>
        <v>32.579328924731186</v>
      </c>
      <c r="AO8" s="34" t="s">
        <v>169</v>
      </c>
      <c r="AP8" s="34">
        <f>COUNTA(S2:S49)</f>
        <v>0</v>
      </c>
    </row>
    <row r="9" spans="1:42" ht="14.25">
      <c r="A9" s="2">
        <v>43473</v>
      </c>
      <c r="B9" s="4">
        <f>10000</f>
        <v>10000</v>
      </c>
      <c r="C9" s="34">
        <f>B9*AD9</f>
        <v>1.7000000000000002</v>
      </c>
      <c r="D9" s="4">
        <v>26500</v>
      </c>
      <c r="E9" s="34">
        <f>D9*AD9</f>
        <v>4.505</v>
      </c>
      <c r="F9" s="4">
        <f>23000+70000+75000</f>
        <v>168000</v>
      </c>
      <c r="G9" s="34">
        <f>F9*AD9</f>
        <v>28.560000000000002</v>
      </c>
      <c r="H9" s="4"/>
      <c r="I9" s="34">
        <f>H9*AD9</f>
        <v>0</v>
      </c>
      <c r="J9" s="4">
        <v>6000</v>
      </c>
      <c r="K9" s="34">
        <f>J9*AD9</f>
        <v>1.02</v>
      </c>
      <c r="L9" s="4">
        <v>220000</v>
      </c>
      <c r="M9" s="34">
        <f>L9*AD9</f>
        <v>37.400000000000006</v>
      </c>
      <c r="O9" s="34">
        <f>N9*AD9</f>
        <v>0</v>
      </c>
      <c r="Q9" s="34">
        <f>P9*AD9</f>
        <v>0</v>
      </c>
      <c r="R9" s="4"/>
      <c r="S9" s="4"/>
      <c r="T9" s="4" t="s">
        <v>148</v>
      </c>
      <c r="U9" s="4"/>
      <c r="V9" s="4"/>
      <c r="W9" s="4"/>
      <c r="X9" s="4"/>
      <c r="Y9" s="4"/>
      <c r="Z9" s="4"/>
      <c r="AA9" s="4"/>
      <c r="AB9" s="4" t="s">
        <v>170</v>
      </c>
      <c r="AC9" s="34">
        <f>B9+D9+F9+H9+J9+L9+N9+P9</f>
        <v>430500</v>
      </c>
      <c r="AD9" s="62">
        <f>510/3000000</f>
        <v>0.00017</v>
      </c>
      <c r="AE9" s="62">
        <f>AC9*AD9</f>
        <v>73.185</v>
      </c>
      <c r="AG9" s="34">
        <v>26</v>
      </c>
      <c r="AI9" s="34" t="s">
        <v>171</v>
      </c>
      <c r="AJ9" s="60">
        <f>SUM(C2:C994)</f>
        <v>488.2494999999999</v>
      </c>
      <c r="AL9" s="34" t="s">
        <v>120</v>
      </c>
      <c r="AM9" s="60">
        <f>AJ9/$AJ$5</f>
        <v>15.749983870967739</v>
      </c>
      <c r="AO9" s="34" t="s">
        <v>138</v>
      </c>
      <c r="AP9" s="34">
        <f>COUNTA(V2:V50)</f>
        <v>0</v>
      </c>
    </row>
    <row r="10" spans="1:42" ht="14.25">
      <c r="A10" s="2">
        <v>43474</v>
      </c>
      <c r="B10" s="4"/>
      <c r="C10" s="34">
        <f>B10*AD10</f>
        <v>0</v>
      </c>
      <c r="D10" s="4">
        <f>25000+11000</f>
        <v>36000</v>
      </c>
      <c r="E10" s="34">
        <f>D10*AD10</f>
        <v>6.12</v>
      </c>
      <c r="F10" s="4">
        <f>90000+60000</f>
        <v>150000</v>
      </c>
      <c r="G10" s="34">
        <f>F10*AD10</f>
        <v>25.500000000000004</v>
      </c>
      <c r="H10" s="4">
        <f>40000*4</f>
        <v>160000</v>
      </c>
      <c r="I10" s="34">
        <f>H10*AD10</f>
        <v>27.200000000000003</v>
      </c>
      <c r="J10" s="4"/>
      <c r="K10" s="34">
        <f>J10*AD10</f>
        <v>0</v>
      </c>
      <c r="L10" s="4">
        <v>220000</v>
      </c>
      <c r="M10" s="34">
        <f>L10*AD10</f>
        <v>37.400000000000006</v>
      </c>
      <c r="O10" s="34">
        <f>N10*AD10</f>
        <v>0</v>
      </c>
      <c r="Q10" s="34">
        <f>P10*AD10</f>
        <v>0</v>
      </c>
      <c r="R10" s="4"/>
      <c r="S10" s="4"/>
      <c r="T10" s="4" t="s">
        <v>148</v>
      </c>
      <c r="U10" s="4"/>
      <c r="V10" s="4"/>
      <c r="W10" s="4"/>
      <c r="X10" s="4"/>
      <c r="Y10" s="4"/>
      <c r="Z10" s="4"/>
      <c r="AA10" s="4"/>
      <c r="AB10" s="4" t="s">
        <v>170</v>
      </c>
      <c r="AC10" s="34">
        <f>B10+D10+F10+H10+J10+L10+N10+P10</f>
        <v>566000</v>
      </c>
      <c r="AD10" s="62">
        <f>510/3000000</f>
        <v>0.00017</v>
      </c>
      <c r="AE10" s="62">
        <f>AC10*AD10</f>
        <v>96.22000000000001</v>
      </c>
      <c r="AG10" s="34">
        <v>26</v>
      </c>
      <c r="AI10" s="34" t="s">
        <v>172</v>
      </c>
      <c r="AJ10" s="60">
        <f>SUM(E2:E994)</f>
        <v>431.36473666666666</v>
      </c>
      <c r="AL10" s="34" t="s">
        <v>58</v>
      </c>
      <c r="AM10" s="60">
        <f>AJ10/$AJ$5</f>
        <v>13.914991505376344</v>
      </c>
      <c r="AO10" s="34" t="s">
        <v>141</v>
      </c>
      <c r="AP10" s="34">
        <f>COUNTA(Y2:Y51)</f>
        <v>0</v>
      </c>
    </row>
    <row r="11" spans="1:42" ht="14.25">
      <c r="A11" s="2">
        <v>43475</v>
      </c>
      <c r="B11" s="4">
        <f>120000+90000</f>
        <v>210000</v>
      </c>
      <c r="C11" s="34">
        <f>B11*AD11</f>
        <v>35.7</v>
      </c>
      <c r="D11" s="4">
        <f>118000+7000</f>
        <v>125000</v>
      </c>
      <c r="E11" s="34">
        <f>D11*AD11</f>
        <v>21.25</v>
      </c>
      <c r="F11" s="4">
        <v>40000</v>
      </c>
      <c r="G11" s="34">
        <f>F11*AD11</f>
        <v>6.800000000000001</v>
      </c>
      <c r="H11" s="4">
        <f>90000*2</f>
        <v>180000</v>
      </c>
      <c r="I11" s="34">
        <f>H11*AD11</f>
        <v>30.6</v>
      </c>
      <c r="J11" s="4"/>
      <c r="K11" s="34">
        <f>J11*AD11</f>
        <v>0</v>
      </c>
      <c r="L11" s="4">
        <v>220000</v>
      </c>
      <c r="M11" s="34">
        <f>L11*AD11</f>
        <v>37.400000000000006</v>
      </c>
      <c r="O11" s="34">
        <f>N11*AD11</f>
        <v>0</v>
      </c>
      <c r="Q11" s="34">
        <f>P11*AD11</f>
        <v>0</v>
      </c>
      <c r="R11" s="4"/>
      <c r="S11" s="4"/>
      <c r="T11" s="4" t="s">
        <v>148</v>
      </c>
      <c r="U11" s="4"/>
      <c r="V11" s="4"/>
      <c r="W11" s="4"/>
      <c r="X11" s="4"/>
      <c r="Y11" s="4"/>
      <c r="Z11" s="4"/>
      <c r="AA11" s="4"/>
      <c r="AB11" s="4" t="s">
        <v>170</v>
      </c>
      <c r="AC11" s="34">
        <f>B11+D11+F11+H11+J11+L11+N11+P11</f>
        <v>775000</v>
      </c>
      <c r="AD11" s="62">
        <f>510/3000000</f>
        <v>0.00017</v>
      </c>
      <c r="AE11" s="62">
        <f>AC11*AD11</f>
        <v>131.75</v>
      </c>
      <c r="AG11" s="34">
        <v>26</v>
      </c>
      <c r="AI11" s="34" t="s">
        <v>173</v>
      </c>
      <c r="AJ11" s="60">
        <f>SUM(G2:G994)</f>
        <v>728.3410133333332</v>
      </c>
      <c r="AL11" s="34" t="s">
        <v>174</v>
      </c>
      <c r="AM11" s="60">
        <f>AJ11/$AJ$5</f>
        <v>23.494871397849458</v>
      </c>
      <c r="AO11" s="34" t="s">
        <v>175</v>
      </c>
      <c r="AP11" s="34">
        <f>COUNTA(Z2:Z52)</f>
        <v>1</v>
      </c>
    </row>
    <row r="12" spans="1:39" ht="14.25">
      <c r="A12" s="2">
        <v>43476</v>
      </c>
      <c r="B12" s="4"/>
      <c r="C12" s="34">
        <f>B12*AD12</f>
        <v>0</v>
      </c>
      <c r="D12" s="4">
        <f>14000+36000</f>
        <v>50000</v>
      </c>
      <c r="E12" s="34">
        <f>D12*AD12</f>
        <v>8.5</v>
      </c>
      <c r="F12" s="4">
        <f>50000+30000+20000</f>
        <v>100000</v>
      </c>
      <c r="G12" s="34">
        <f>F12*AD12</f>
        <v>17</v>
      </c>
      <c r="H12" s="4"/>
      <c r="I12" s="34">
        <f>H12*AD12</f>
        <v>0</v>
      </c>
      <c r="J12" s="4"/>
      <c r="K12" s="34">
        <f>J12*AD12</f>
        <v>0</v>
      </c>
      <c r="L12" s="4">
        <v>245000</v>
      </c>
      <c r="M12" s="34">
        <f>L12*AD12</f>
        <v>41.650000000000006</v>
      </c>
      <c r="O12" s="34">
        <f>N12*AD12</f>
        <v>0</v>
      </c>
      <c r="Q12" s="34">
        <f>P12*AD12</f>
        <v>0</v>
      </c>
      <c r="R12" s="4"/>
      <c r="S12" s="4"/>
      <c r="T12" s="4" t="s">
        <v>148</v>
      </c>
      <c r="U12" s="4"/>
      <c r="V12" s="4"/>
      <c r="W12" s="4"/>
      <c r="X12" s="4"/>
      <c r="Y12" s="4"/>
      <c r="Z12" s="4"/>
      <c r="AA12" s="4"/>
      <c r="AB12" s="4" t="s">
        <v>170</v>
      </c>
      <c r="AC12" s="34">
        <f>B12+D12+F12+H12+J12+L12+N12+P12</f>
        <v>395000</v>
      </c>
      <c r="AD12" s="62">
        <f>510/3000000</f>
        <v>0.00017</v>
      </c>
      <c r="AE12" s="62">
        <f>AC12*AD12</f>
        <v>67.15</v>
      </c>
      <c r="AG12" s="34">
        <v>26</v>
      </c>
      <c r="AI12" s="34" t="s">
        <v>176</v>
      </c>
      <c r="AJ12" s="60">
        <f>SUM(K2:K994)</f>
        <v>214.29723333333337</v>
      </c>
      <c r="AL12" s="34" t="s">
        <v>128</v>
      </c>
      <c r="AM12" s="60">
        <f>AJ12/$AJ$5</f>
        <v>6.912813978494625</v>
      </c>
    </row>
    <row r="13" spans="1:39" ht="14.25">
      <c r="A13" s="2">
        <v>43477</v>
      </c>
      <c r="B13" s="4"/>
      <c r="C13" s="34">
        <f>B13*AD13</f>
        <v>0</v>
      </c>
      <c r="D13" s="4">
        <v>34000</v>
      </c>
      <c r="E13" s="34">
        <f>D13*AD13</f>
        <v>5.78</v>
      </c>
      <c r="F13" s="4">
        <f>25000+80000</f>
        <v>105000</v>
      </c>
      <c r="G13" s="34">
        <f>F13*AD13</f>
        <v>17.85</v>
      </c>
      <c r="H13" s="4"/>
      <c r="I13" s="34">
        <f>H13*AD13</f>
        <v>0</v>
      </c>
      <c r="J13" s="4">
        <f>1000000+154000</f>
        <v>1154000</v>
      </c>
      <c r="K13" s="34">
        <f>J13*AD13</f>
        <v>196.18</v>
      </c>
      <c r="L13" s="4">
        <v>245000</v>
      </c>
      <c r="M13" s="34">
        <f>L13*AD13</f>
        <v>41.650000000000006</v>
      </c>
      <c r="O13" s="34">
        <f>N13*AD13</f>
        <v>0</v>
      </c>
      <c r="Q13" s="34">
        <f>P13*AD13</f>
        <v>0</v>
      </c>
      <c r="R13" s="4"/>
      <c r="S13" s="4"/>
      <c r="T13" s="4" t="s">
        <v>148</v>
      </c>
      <c r="U13" s="4"/>
      <c r="V13" s="4"/>
      <c r="W13" s="4"/>
      <c r="X13" s="4"/>
      <c r="Y13" s="4"/>
      <c r="Z13" s="4"/>
      <c r="AA13" s="4"/>
      <c r="AB13" s="4" t="s">
        <v>170</v>
      </c>
      <c r="AC13" s="34">
        <f>B13+D13+F13+H13+J13+L13+N13+P13</f>
        <v>1538000</v>
      </c>
      <c r="AD13" s="62">
        <f>510/3000000</f>
        <v>0.00017</v>
      </c>
      <c r="AE13" s="62">
        <f>AC13*AD13</f>
        <v>261.46000000000004</v>
      </c>
      <c r="AG13" s="34">
        <v>26</v>
      </c>
      <c r="AI13" s="34" t="s">
        <v>177</v>
      </c>
      <c r="AJ13" s="34">
        <f>SUM(I2:I994)</f>
        <v>122.69170000000001</v>
      </c>
      <c r="AL13" s="34" t="s">
        <v>126</v>
      </c>
      <c r="AM13" s="60">
        <f>AJ13/$AJ$5</f>
        <v>3.957796774193549</v>
      </c>
    </row>
    <row r="14" spans="1:36" ht="14.25">
      <c r="A14" s="2">
        <v>43478</v>
      </c>
      <c r="B14" s="4"/>
      <c r="C14" s="34">
        <f>B14*AD14</f>
        <v>0</v>
      </c>
      <c r="D14" s="4">
        <f>36000+47000+24000</f>
        <v>107000</v>
      </c>
      <c r="E14" s="34">
        <f>D14*AD14</f>
        <v>18.19</v>
      </c>
      <c r="F14" s="4">
        <f>50000+60000+20000</f>
        <v>130000</v>
      </c>
      <c r="G14" s="34">
        <f>F14*AD14</f>
        <v>22.1</v>
      </c>
      <c r="H14" s="4"/>
      <c r="I14" s="34">
        <f>H14*AD14</f>
        <v>0</v>
      </c>
      <c r="J14" s="4"/>
      <c r="K14" s="34">
        <f>J14*AD14</f>
        <v>0</v>
      </c>
      <c r="L14" s="4">
        <v>220000</v>
      </c>
      <c r="M14" s="34">
        <f>L14*AD14</f>
        <v>37.400000000000006</v>
      </c>
      <c r="O14" s="34">
        <f>N14*AD14</f>
        <v>0</v>
      </c>
      <c r="Q14" s="34">
        <f>P14*AD14</f>
        <v>0</v>
      </c>
      <c r="R14" s="4"/>
      <c r="S14" s="4"/>
      <c r="T14" s="4" t="s">
        <v>148</v>
      </c>
      <c r="U14" s="4"/>
      <c r="V14" s="4"/>
      <c r="W14" s="4"/>
      <c r="X14" s="4"/>
      <c r="Y14" s="4"/>
      <c r="Z14" s="4"/>
      <c r="AA14" s="4"/>
      <c r="AB14" s="4" t="s">
        <v>170</v>
      </c>
      <c r="AC14" s="34">
        <f>B14+D14+F14+H14+J14+L14+N14+P14</f>
        <v>457000</v>
      </c>
      <c r="AD14" s="62">
        <f>510/3000000</f>
        <v>0.00017</v>
      </c>
      <c r="AE14" s="62">
        <f>AC14*AD14</f>
        <v>77.69000000000001</v>
      </c>
      <c r="AG14" s="34">
        <v>26</v>
      </c>
      <c r="AI14" s="34" t="s">
        <v>178</v>
      </c>
      <c r="AJ14" s="60">
        <f>SUM(O2:O994)</f>
        <v>0</v>
      </c>
    </row>
    <row r="15" spans="1:36" ht="14.25">
      <c r="A15" s="2">
        <v>43479</v>
      </c>
      <c r="B15" s="4"/>
      <c r="C15" s="34">
        <f>B15*AD15</f>
        <v>0</v>
      </c>
      <c r="D15" s="4">
        <f>95000+14000+65500</f>
        <v>174500</v>
      </c>
      <c r="E15" s="34">
        <f>D15*AD15</f>
        <v>29.665000000000003</v>
      </c>
      <c r="F15" s="4">
        <f>50000+80000</f>
        <v>130000</v>
      </c>
      <c r="G15" s="34">
        <f>F15*AD15</f>
        <v>22.1</v>
      </c>
      <c r="H15" s="4"/>
      <c r="I15" s="34">
        <f>H15*AD15</f>
        <v>0</v>
      </c>
      <c r="J15" s="4">
        <v>30000</v>
      </c>
      <c r="K15" s="34">
        <f>J15*AD15</f>
        <v>5.1000000000000005</v>
      </c>
      <c r="L15" s="4">
        <v>220000</v>
      </c>
      <c r="M15" s="34">
        <f>L15*AD15</f>
        <v>37.400000000000006</v>
      </c>
      <c r="O15" s="34">
        <f>N15*AD15</f>
        <v>0</v>
      </c>
      <c r="Q15" s="34">
        <f>P15*AD15</f>
        <v>0</v>
      </c>
      <c r="R15" s="4"/>
      <c r="S15" s="4"/>
      <c r="T15" s="4" t="s">
        <v>148</v>
      </c>
      <c r="U15" s="4"/>
      <c r="V15" s="4"/>
      <c r="W15" s="4"/>
      <c r="X15" s="4"/>
      <c r="Y15" s="4"/>
      <c r="Z15" s="4"/>
      <c r="AA15" s="4"/>
      <c r="AB15" s="4" t="s">
        <v>170</v>
      </c>
      <c r="AC15" s="34">
        <f>B15+D15+F15+H15+J15+L15+N15+P15</f>
        <v>554500</v>
      </c>
      <c r="AD15" s="62">
        <f>510/3000000</f>
        <v>0.00017</v>
      </c>
      <c r="AE15" s="62">
        <f>AC15*AD15</f>
        <v>94.265</v>
      </c>
      <c r="AG15" s="34">
        <v>26</v>
      </c>
      <c r="AI15" s="34" t="s">
        <v>179</v>
      </c>
      <c r="AJ15" s="34">
        <f>SUM(Q2:Q60)</f>
        <v>0</v>
      </c>
    </row>
    <row r="16" spans="1:35" ht="14.25">
      <c r="A16" s="2">
        <v>43480</v>
      </c>
      <c r="B16" s="4"/>
      <c r="C16" s="34">
        <f>B16*AD16</f>
        <v>0</v>
      </c>
      <c r="D16" s="4">
        <f>22000</f>
        <v>22000</v>
      </c>
      <c r="E16" s="34">
        <f>D16*AD16</f>
        <v>3.74</v>
      </c>
      <c r="F16" s="4">
        <f>75000+50000</f>
        <v>125000</v>
      </c>
      <c r="G16" s="34">
        <f>F16*AD16</f>
        <v>21.25</v>
      </c>
      <c r="H16" s="4"/>
      <c r="I16" s="34">
        <f>H16*AD16</f>
        <v>0</v>
      </c>
      <c r="J16" s="4"/>
      <c r="K16" s="34">
        <f>J16*AD16</f>
        <v>0</v>
      </c>
      <c r="L16" s="4">
        <v>220000</v>
      </c>
      <c r="M16" s="34">
        <f>L16*AD16</f>
        <v>37.400000000000006</v>
      </c>
      <c r="O16" s="34">
        <f>N16*AD16</f>
        <v>0</v>
      </c>
      <c r="Q16" s="34">
        <f>P16*AD16</f>
        <v>0</v>
      </c>
      <c r="R16" s="4"/>
      <c r="S16" s="4"/>
      <c r="T16" s="4" t="s">
        <v>148</v>
      </c>
      <c r="U16" s="4"/>
      <c r="V16" s="4"/>
      <c r="W16" s="4"/>
      <c r="X16" s="4"/>
      <c r="Y16" s="4"/>
      <c r="Z16" s="4"/>
      <c r="AA16" s="4"/>
      <c r="AB16" s="4" t="s">
        <v>170</v>
      </c>
      <c r="AC16" s="34">
        <f>B16+D16+F16+H16+J16+L16+N16+P16</f>
        <v>367000</v>
      </c>
      <c r="AD16" s="62">
        <f>510/3000000</f>
        <v>0.00017</v>
      </c>
      <c r="AE16" s="62">
        <f>AC16*AD16</f>
        <v>62.39000000000001</v>
      </c>
      <c r="AG16" s="34">
        <v>26</v>
      </c>
      <c r="AI16" s="65"/>
    </row>
    <row r="17" spans="1:44" ht="14.25">
      <c r="A17" s="2">
        <v>43481</v>
      </c>
      <c r="B17" s="4">
        <f>5000*4+90000*2+22000</f>
        <v>222000</v>
      </c>
      <c r="C17" s="34">
        <f>B17*AD17</f>
        <v>37.74</v>
      </c>
      <c r="D17" s="4">
        <f>20000+106500</f>
        <v>126500</v>
      </c>
      <c r="E17" s="34">
        <f>D17*AD17</f>
        <v>21.505000000000003</v>
      </c>
      <c r="F17" s="4">
        <v>52000</v>
      </c>
      <c r="G17" s="34">
        <f>F17*AD17</f>
        <v>8.84</v>
      </c>
      <c r="H17" s="4"/>
      <c r="I17" s="34">
        <f>H17*AD17</f>
        <v>0</v>
      </c>
      <c r="J17" s="4"/>
      <c r="K17" s="34">
        <f>J17*AD17</f>
        <v>0</v>
      </c>
      <c r="L17" s="4">
        <v>170000</v>
      </c>
      <c r="M17" s="34">
        <f>L17*AD17</f>
        <v>28.900000000000002</v>
      </c>
      <c r="O17" s="34">
        <f>N17*AD17</f>
        <v>0</v>
      </c>
      <c r="Q17" s="34">
        <f>P17*AD17</f>
        <v>0</v>
      </c>
      <c r="R17" s="4"/>
      <c r="S17" s="4"/>
      <c r="T17" s="4" t="s">
        <v>148</v>
      </c>
      <c r="U17" s="4"/>
      <c r="V17" s="4"/>
      <c r="W17" s="4"/>
      <c r="X17" s="4"/>
      <c r="Y17" s="4"/>
      <c r="Z17" s="4"/>
      <c r="AA17" s="4"/>
      <c r="AB17" s="4" t="s">
        <v>180</v>
      </c>
      <c r="AC17" s="34">
        <f>B17+D17+F17+H17+J17+L17+N17+P17</f>
        <v>570500</v>
      </c>
      <c r="AD17" s="62">
        <f>510/3000000</f>
        <v>0.00017</v>
      </c>
      <c r="AE17" s="62">
        <f>AC17*AD17</f>
        <v>96.98500000000001</v>
      </c>
      <c r="AG17" s="34">
        <v>26</v>
      </c>
      <c r="AR17" s="59"/>
    </row>
    <row r="18" spans="1:44" ht="14.25">
      <c r="A18" s="2">
        <v>43482</v>
      </c>
      <c r="B18" s="4"/>
      <c r="C18" s="34">
        <f>B18*AD18</f>
        <v>0</v>
      </c>
      <c r="D18" s="4">
        <v>69000</v>
      </c>
      <c r="E18" s="34">
        <f>D18*AD18</f>
        <v>11.73</v>
      </c>
      <c r="F18" s="4">
        <v>52000</v>
      </c>
      <c r="G18" s="34">
        <f>F18*AD18</f>
        <v>8.84</v>
      </c>
      <c r="H18" s="4"/>
      <c r="I18" s="34">
        <f>H18*AD18</f>
        <v>0</v>
      </c>
      <c r="J18" s="4"/>
      <c r="K18" s="34">
        <f>J18*AD18</f>
        <v>0</v>
      </c>
      <c r="L18" s="4">
        <v>170000</v>
      </c>
      <c r="M18" s="34">
        <f>L18*AD18</f>
        <v>28.900000000000002</v>
      </c>
      <c r="O18" s="34">
        <f>N18*AD18</f>
        <v>0</v>
      </c>
      <c r="Q18" s="34">
        <f>P18*AD18</f>
        <v>0</v>
      </c>
      <c r="R18" s="4"/>
      <c r="S18" s="4"/>
      <c r="T18" s="4" t="s">
        <v>148</v>
      </c>
      <c r="U18" s="4"/>
      <c r="V18" s="4"/>
      <c r="W18" s="4"/>
      <c r="X18" s="4"/>
      <c r="Y18" s="4"/>
      <c r="Z18" s="4"/>
      <c r="AA18" s="4"/>
      <c r="AB18" s="4" t="s">
        <v>181</v>
      </c>
      <c r="AC18" s="34">
        <f>B18+D18+F18+H18+J18+L18+N18+P18</f>
        <v>291000</v>
      </c>
      <c r="AD18" s="62">
        <f>510/3000000</f>
        <v>0.00017</v>
      </c>
      <c r="AE18" s="62">
        <f>AC18*AD18</f>
        <v>49.470000000000006</v>
      </c>
      <c r="AG18" s="34">
        <v>26</v>
      </c>
      <c r="AI18" s="34" t="s">
        <v>182</v>
      </c>
      <c r="AJ18" s="34">
        <f>SUM(AA2:AA50)</f>
        <v>0</v>
      </c>
      <c r="AR18" s="59"/>
    </row>
    <row r="19" spans="1:33" ht="14.25">
      <c r="A19" s="2">
        <v>43483</v>
      </c>
      <c r="B19" s="4"/>
      <c r="C19" s="34">
        <f>B19*AD19</f>
        <v>0</v>
      </c>
      <c r="D19" s="4">
        <v>119000</v>
      </c>
      <c r="E19" s="34">
        <f>D19*AD19</f>
        <v>20.23</v>
      </c>
      <c r="F19" s="4">
        <f>52000+110000</f>
        <v>162000</v>
      </c>
      <c r="G19" s="34">
        <f>F19*AD19</f>
        <v>27.540000000000003</v>
      </c>
      <c r="H19" s="4">
        <f>350000</f>
        <v>350000</v>
      </c>
      <c r="I19" s="34">
        <f>H19*AD19</f>
        <v>59.50000000000001</v>
      </c>
      <c r="J19" s="4"/>
      <c r="K19" s="34">
        <f>J19*AD19</f>
        <v>0</v>
      </c>
      <c r="L19" s="4">
        <v>170000</v>
      </c>
      <c r="M19" s="34">
        <f>L19*AD19</f>
        <v>28.900000000000002</v>
      </c>
      <c r="O19" s="34">
        <f>N19*AD19</f>
        <v>0</v>
      </c>
      <c r="Q19" s="34">
        <f>P19*AD19</f>
        <v>0</v>
      </c>
      <c r="R19" s="4"/>
      <c r="S19" s="4"/>
      <c r="T19" s="4" t="s">
        <v>148</v>
      </c>
      <c r="U19" s="4"/>
      <c r="V19" s="4"/>
      <c r="W19" s="4"/>
      <c r="X19" s="4"/>
      <c r="Y19" s="4"/>
      <c r="Z19" s="4"/>
      <c r="AA19" s="4"/>
      <c r="AB19" s="4" t="s">
        <v>181</v>
      </c>
      <c r="AC19" s="34">
        <f>B19+D19+F19+H19+J19+L19+N19+P19</f>
        <v>801000</v>
      </c>
      <c r="AD19" s="62">
        <f>510/3000000</f>
        <v>0.00017</v>
      </c>
      <c r="AE19" s="62">
        <f>AC19*AD19</f>
        <v>136.17000000000002</v>
      </c>
      <c r="AG19" s="34">
        <v>26</v>
      </c>
    </row>
    <row r="20" spans="1:33" ht="14.25">
      <c r="A20" s="2">
        <v>43484</v>
      </c>
      <c r="B20" s="4"/>
      <c r="C20" s="34">
        <f>B20*AD20</f>
        <v>0</v>
      </c>
      <c r="D20" s="4">
        <v>99000</v>
      </c>
      <c r="E20" s="34">
        <f>D20*AD20</f>
        <v>16.830000000000002</v>
      </c>
      <c r="F20" s="4">
        <v>52000</v>
      </c>
      <c r="G20" s="34">
        <f>F20*AD20</f>
        <v>8.84</v>
      </c>
      <c r="H20" s="4"/>
      <c r="I20" s="34">
        <f>H20*AD20</f>
        <v>0</v>
      </c>
      <c r="J20" s="4"/>
      <c r="K20" s="34">
        <f>J20*AD20</f>
        <v>0</v>
      </c>
      <c r="L20" s="4">
        <v>170000</v>
      </c>
      <c r="M20" s="34">
        <f>L20*AD20</f>
        <v>28.900000000000002</v>
      </c>
      <c r="O20" s="34">
        <f>N20*AD20</f>
        <v>0</v>
      </c>
      <c r="Q20" s="34">
        <f>P20*AD20</f>
        <v>0</v>
      </c>
      <c r="R20" s="4"/>
      <c r="S20" s="4"/>
      <c r="T20" s="4" t="s">
        <v>148</v>
      </c>
      <c r="U20" s="4"/>
      <c r="V20" s="4"/>
      <c r="W20" s="4"/>
      <c r="X20" s="4"/>
      <c r="Y20" s="4"/>
      <c r="Z20" s="4"/>
      <c r="AA20" s="4"/>
      <c r="AB20" s="4" t="s">
        <v>181</v>
      </c>
      <c r="AC20" s="34">
        <f>B20+D20+F20+H20+J20+L20+N20+P20</f>
        <v>321000</v>
      </c>
      <c r="AD20" s="62">
        <f>510/3000000</f>
        <v>0.00017</v>
      </c>
      <c r="AE20" s="62">
        <f>AC20*AD20</f>
        <v>54.57000000000001</v>
      </c>
      <c r="AG20" s="34">
        <v>26</v>
      </c>
    </row>
    <row r="21" spans="1:33" ht="14.25">
      <c r="A21" s="2">
        <v>43485</v>
      </c>
      <c r="B21" s="4">
        <f>100000*2</f>
        <v>200000</v>
      </c>
      <c r="C21" s="34">
        <f>B21*AD21</f>
        <v>34</v>
      </c>
      <c r="D21" s="4">
        <f>108500+14000</f>
        <v>122500</v>
      </c>
      <c r="E21" s="34">
        <f>D21*AD21</f>
        <v>20.825000000000003</v>
      </c>
      <c r="F21" s="4">
        <f>26000*2+35000*2</f>
        <v>122000</v>
      </c>
      <c r="G21" s="34">
        <f>F21*AD21</f>
        <v>20.740000000000002</v>
      </c>
      <c r="H21" s="4"/>
      <c r="I21" s="34">
        <f>H21*AD21</f>
        <v>0</v>
      </c>
      <c r="J21" s="4"/>
      <c r="K21" s="34">
        <f>J21*AD21</f>
        <v>0</v>
      </c>
      <c r="L21" s="4">
        <v>216000</v>
      </c>
      <c r="M21" s="34">
        <f>L21*AD21</f>
        <v>36.720000000000006</v>
      </c>
      <c r="O21" s="34">
        <f>N21*AD21</f>
        <v>0</v>
      </c>
      <c r="Q21" s="34">
        <f>P21*AD21</f>
        <v>0</v>
      </c>
      <c r="R21" s="4"/>
      <c r="S21" s="4"/>
      <c r="T21" s="4" t="s">
        <v>148</v>
      </c>
      <c r="U21" s="4"/>
      <c r="V21" s="4"/>
      <c r="W21" s="4"/>
      <c r="X21" s="4"/>
      <c r="Y21" s="4"/>
      <c r="Z21" s="4"/>
      <c r="AA21" s="4"/>
      <c r="AB21" s="4" t="s">
        <v>183</v>
      </c>
      <c r="AC21" s="34">
        <f>B21+D21+F21+H21+J21+L21+N21+P21</f>
        <v>660500</v>
      </c>
      <c r="AD21" s="62">
        <f>510/3000000</f>
        <v>0.00017</v>
      </c>
      <c r="AE21" s="62">
        <f>AC21*AD21</f>
        <v>112.28500000000001</v>
      </c>
      <c r="AG21" s="34">
        <v>26</v>
      </c>
    </row>
    <row r="22" spans="1:33" ht="14.25">
      <c r="A22" s="2">
        <v>43486</v>
      </c>
      <c r="B22" s="4"/>
      <c r="C22" s="34">
        <f>B22*AD22</f>
        <v>0</v>
      </c>
      <c r="D22" s="4">
        <f>106000+10000+14000</f>
        <v>130000</v>
      </c>
      <c r="E22" s="34">
        <f>D22*AD22</f>
        <v>22.1</v>
      </c>
      <c r="F22" s="4">
        <f>35000*4</f>
        <v>140000</v>
      </c>
      <c r="G22" s="34">
        <f>F22*AD22</f>
        <v>23.8</v>
      </c>
      <c r="H22" s="4"/>
      <c r="I22" s="34">
        <f>H22*AD22</f>
        <v>0</v>
      </c>
      <c r="J22" s="4"/>
      <c r="K22" s="34">
        <f>J22*AD22</f>
        <v>0</v>
      </c>
      <c r="L22" s="4">
        <v>216000</v>
      </c>
      <c r="M22" s="34">
        <f>L22*AD22</f>
        <v>36.720000000000006</v>
      </c>
      <c r="O22" s="34">
        <f>N22*AD22</f>
        <v>0</v>
      </c>
      <c r="Q22" s="34">
        <f>P22*AD22</f>
        <v>0</v>
      </c>
      <c r="R22" s="4"/>
      <c r="S22" s="4"/>
      <c r="T22" s="4" t="s">
        <v>148</v>
      </c>
      <c r="U22" s="4"/>
      <c r="V22" s="4"/>
      <c r="W22" s="4"/>
      <c r="X22" s="4"/>
      <c r="Y22" s="4"/>
      <c r="Z22" s="4"/>
      <c r="AA22" s="4"/>
      <c r="AB22" s="4" t="s">
        <v>183</v>
      </c>
      <c r="AC22" s="34">
        <f>B22+D22+F22+H22+J22+L22+N22+P22</f>
        <v>486000</v>
      </c>
      <c r="AD22" s="62">
        <f>510/3000000</f>
        <v>0.00017</v>
      </c>
      <c r="AE22" s="62">
        <f>AC22*AD22</f>
        <v>82.62</v>
      </c>
      <c r="AG22" s="34">
        <v>26</v>
      </c>
    </row>
    <row r="23" spans="1:33" ht="14.25">
      <c r="A23" s="2">
        <v>43487</v>
      </c>
      <c r="B23" s="4">
        <f>150000*2</f>
        <v>300000</v>
      </c>
      <c r="C23" s="34">
        <f>B23*AD23</f>
        <v>51.00000000000001</v>
      </c>
      <c r="D23" s="4">
        <v>120500</v>
      </c>
      <c r="E23" s="34">
        <f>D23*AD23</f>
        <v>20.485000000000003</v>
      </c>
      <c r="F23" s="4">
        <f>35000*4</f>
        <v>140000</v>
      </c>
      <c r="G23" s="34">
        <f>F23*AD23</f>
        <v>23.8</v>
      </c>
      <c r="H23" s="4"/>
      <c r="I23" s="34">
        <f>H23*AD23</f>
        <v>0</v>
      </c>
      <c r="J23" s="4"/>
      <c r="K23" s="34">
        <f>J23*AD23</f>
        <v>0</v>
      </c>
      <c r="L23" s="4">
        <v>216000</v>
      </c>
      <c r="M23" s="34">
        <f>L23*AD23</f>
        <v>36.720000000000006</v>
      </c>
      <c r="O23" s="34">
        <f>N23*AD23</f>
        <v>0</v>
      </c>
      <c r="Q23" s="34">
        <f>P23*AD23</f>
        <v>0</v>
      </c>
      <c r="R23" s="4"/>
      <c r="S23" s="4"/>
      <c r="T23" s="4" t="s">
        <v>148</v>
      </c>
      <c r="U23" s="4"/>
      <c r="V23" s="4"/>
      <c r="W23" s="4"/>
      <c r="X23" s="4"/>
      <c r="Y23" s="4"/>
      <c r="Z23" s="4"/>
      <c r="AA23" s="4"/>
      <c r="AB23" s="4" t="s">
        <v>183</v>
      </c>
      <c r="AC23" s="34">
        <f>B23+D23+F23+H23+J23+L23+N23+P23</f>
        <v>776500</v>
      </c>
      <c r="AD23" s="62">
        <f>510/3000000</f>
        <v>0.00017</v>
      </c>
      <c r="AE23" s="62">
        <f>AC23*AD23</f>
        <v>132.005</v>
      </c>
      <c r="AG23" s="34">
        <v>26</v>
      </c>
    </row>
    <row r="24" spans="1:33" ht="14.25">
      <c r="A24" s="2">
        <v>43488</v>
      </c>
      <c r="B24" s="4">
        <v>20000</v>
      </c>
      <c r="C24" s="34">
        <f>B24*AD24</f>
        <v>3.4000000000000004</v>
      </c>
      <c r="D24" s="4">
        <v>10000</v>
      </c>
      <c r="E24" s="34">
        <f>D24*AD24</f>
        <v>1.7000000000000002</v>
      </c>
      <c r="F24" s="4">
        <f>30000+60000+60000</f>
        <v>150000</v>
      </c>
      <c r="G24" s="34">
        <f>F24*AD24</f>
        <v>25.500000000000004</v>
      </c>
      <c r="H24" s="4"/>
      <c r="I24" s="34">
        <f>H24*AD24</f>
        <v>0</v>
      </c>
      <c r="J24" s="4"/>
      <c r="K24" s="34">
        <f>J24*AD24</f>
        <v>0</v>
      </c>
      <c r="L24" s="4">
        <v>220000</v>
      </c>
      <c r="M24" s="34">
        <f>L24*AD24</f>
        <v>37.400000000000006</v>
      </c>
      <c r="O24" s="34">
        <f>N24*AD24</f>
        <v>0</v>
      </c>
      <c r="Q24" s="34">
        <f>P24*AD24</f>
        <v>0</v>
      </c>
      <c r="R24" s="4"/>
      <c r="S24" s="4"/>
      <c r="T24" s="4" t="s">
        <v>148</v>
      </c>
      <c r="U24" s="4"/>
      <c r="V24" s="4"/>
      <c r="W24" s="4"/>
      <c r="X24" s="4"/>
      <c r="Y24" s="4"/>
      <c r="Z24" s="4"/>
      <c r="AA24" s="4"/>
      <c r="AB24" s="4" t="s">
        <v>184</v>
      </c>
      <c r="AC24" s="34">
        <f>B24+D24+F24+H24+J24+L24+N24+P24</f>
        <v>400000</v>
      </c>
      <c r="AD24" s="62">
        <f>510/3000000</f>
        <v>0.00017</v>
      </c>
      <c r="AE24" s="62">
        <f>AC24*AD24</f>
        <v>68</v>
      </c>
      <c r="AG24" s="34">
        <v>26</v>
      </c>
    </row>
    <row r="25" spans="1:33" ht="14.25">
      <c r="A25" s="2">
        <v>43489</v>
      </c>
      <c r="B25" s="4"/>
      <c r="C25" s="34">
        <f>B25*AD25</f>
        <v>0</v>
      </c>
      <c r="D25" s="4">
        <f>22000+43000</f>
        <v>65000</v>
      </c>
      <c r="E25" s="34">
        <f>D25*AD25</f>
        <v>11.05</v>
      </c>
      <c r="F25" s="4">
        <f>25000+50000+60000</f>
        <v>135000</v>
      </c>
      <c r="G25" s="34">
        <f>F25*AD25</f>
        <v>22.950000000000003</v>
      </c>
      <c r="H25" s="4"/>
      <c r="I25" s="34">
        <f>H25*AD25</f>
        <v>0</v>
      </c>
      <c r="J25" s="4">
        <v>40000</v>
      </c>
      <c r="K25" s="34">
        <f>J25*AD25</f>
        <v>6.800000000000001</v>
      </c>
      <c r="L25" s="4">
        <v>220000</v>
      </c>
      <c r="M25" s="34">
        <f>L25*AD25</f>
        <v>37.400000000000006</v>
      </c>
      <c r="O25" s="34">
        <f>N25*AD25</f>
        <v>0</v>
      </c>
      <c r="Q25" s="34">
        <f>P25*AD25</f>
        <v>0</v>
      </c>
      <c r="R25" s="4"/>
      <c r="S25" s="4"/>
      <c r="T25" s="4" t="s">
        <v>148</v>
      </c>
      <c r="U25" s="4"/>
      <c r="V25" s="4"/>
      <c r="W25" s="4"/>
      <c r="X25" s="4"/>
      <c r="Y25" s="4"/>
      <c r="Z25" s="4"/>
      <c r="AA25" s="4"/>
      <c r="AB25" s="4" t="s">
        <v>170</v>
      </c>
      <c r="AC25" s="34">
        <f>B25+D25+F25+H25+J25+L25+N25+P25</f>
        <v>460000</v>
      </c>
      <c r="AD25" s="62">
        <f>510/3000000</f>
        <v>0.00017</v>
      </c>
      <c r="AE25" s="62">
        <f>AC25*AD25</f>
        <v>78.2</v>
      </c>
      <c r="AG25" s="34">
        <v>26</v>
      </c>
    </row>
    <row r="26" spans="1:33" ht="14.25">
      <c r="A26" s="2">
        <v>43490</v>
      </c>
      <c r="B26" s="4"/>
      <c r="C26" s="34">
        <f>B26*AD26</f>
        <v>0</v>
      </c>
      <c r="D26" s="4">
        <f>30000</f>
        <v>30000</v>
      </c>
      <c r="E26" s="34">
        <f>D26*AD26</f>
        <v>5.1000000000000005</v>
      </c>
      <c r="F26" s="4">
        <f>50000+60000+60000</f>
        <v>170000</v>
      </c>
      <c r="G26" s="34">
        <f>F26*AD26</f>
        <v>28.900000000000002</v>
      </c>
      <c r="H26" s="4"/>
      <c r="I26" s="34">
        <f>H26*AD26</f>
        <v>0</v>
      </c>
      <c r="J26" s="4">
        <v>20000</v>
      </c>
      <c r="K26" s="34">
        <f>J26*AD26</f>
        <v>3.4000000000000004</v>
      </c>
      <c r="L26" s="4">
        <v>220000</v>
      </c>
      <c r="M26" s="34">
        <f>L26*AD26</f>
        <v>37.400000000000006</v>
      </c>
      <c r="O26" s="34">
        <f>N26*AD26</f>
        <v>0</v>
      </c>
      <c r="Q26" s="34">
        <f>P26*AD26</f>
        <v>0</v>
      </c>
      <c r="R26" s="4"/>
      <c r="S26" s="4"/>
      <c r="T26" s="4" t="s">
        <v>148</v>
      </c>
      <c r="U26" s="4"/>
      <c r="V26" s="4"/>
      <c r="W26" s="4"/>
      <c r="X26" s="4"/>
      <c r="Y26" s="4"/>
      <c r="Z26" s="4"/>
      <c r="AA26" s="4"/>
      <c r="AB26" s="4" t="s">
        <v>170</v>
      </c>
      <c r="AC26" s="34">
        <f>B26+D26+F26+H26+J26+L26+N26+P26</f>
        <v>440000</v>
      </c>
      <c r="AD26" s="62">
        <f>510/3000000</f>
        <v>0.00017</v>
      </c>
      <c r="AE26" s="62">
        <f>AC26*AD26</f>
        <v>74.80000000000001</v>
      </c>
      <c r="AG26" s="34">
        <v>26</v>
      </c>
    </row>
    <row r="27" spans="1:33" ht="14.25">
      <c r="A27" s="2">
        <v>43491</v>
      </c>
      <c r="B27" s="4">
        <f>18000+85000*2</f>
        <v>188000</v>
      </c>
      <c r="C27" s="34">
        <f>B27*AD27</f>
        <v>33.78798666666666</v>
      </c>
      <c r="D27" s="4">
        <f>22000+27000</f>
        <v>49000</v>
      </c>
      <c r="E27" s="34">
        <f>D27*AD27</f>
        <v>8.806443333333332</v>
      </c>
      <c r="F27" s="4">
        <f>30000+60000+80000</f>
        <v>170000</v>
      </c>
      <c r="G27" s="34">
        <f>F27*AD27</f>
        <v>30.552966666666663</v>
      </c>
      <c r="H27" s="4"/>
      <c r="I27" s="34">
        <f>H27*AD27</f>
        <v>0</v>
      </c>
      <c r="J27" s="4"/>
      <c r="K27" s="34">
        <f>J27*AD27</f>
        <v>0</v>
      </c>
      <c r="L27" s="4">
        <v>162000</v>
      </c>
      <c r="M27" s="34">
        <f>L27*AD27</f>
        <v>29.115179999999995</v>
      </c>
      <c r="O27" s="34">
        <f>N27*AD27</f>
        <v>0</v>
      </c>
      <c r="Q27" s="34">
        <f>P27*AD27</f>
        <v>0</v>
      </c>
      <c r="R27" s="4"/>
      <c r="S27" s="4"/>
      <c r="T27" s="4" t="s">
        <v>148</v>
      </c>
      <c r="U27" s="4"/>
      <c r="V27" s="4"/>
      <c r="W27" s="4"/>
      <c r="X27" s="4"/>
      <c r="Y27" s="4"/>
      <c r="Z27" s="4"/>
      <c r="AA27" s="4"/>
      <c r="AB27" s="4" t="s">
        <v>185</v>
      </c>
      <c r="AC27" s="34">
        <f>B27+D27+F27+H27+J27+L27+N27+P27</f>
        <v>569000</v>
      </c>
      <c r="AD27" s="62">
        <f>539.17/3000000</f>
        <v>0.0001797233333333333</v>
      </c>
      <c r="AE27" s="62">
        <f>AC27*AD27</f>
        <v>102.26257666666665</v>
      </c>
      <c r="AG27" s="34">
        <v>26</v>
      </c>
    </row>
    <row r="28" spans="1:33" ht="14.25">
      <c r="A28" s="2">
        <v>43492</v>
      </c>
      <c r="B28" s="4"/>
      <c r="C28" s="34">
        <f>B28*AD28</f>
        <v>0</v>
      </c>
      <c r="D28" s="4">
        <v>54000</v>
      </c>
      <c r="E28" s="34">
        <f>D28*AD28</f>
        <v>9.705059999999998</v>
      </c>
      <c r="F28" s="4">
        <f>120000+60000</f>
        <v>180000</v>
      </c>
      <c r="G28" s="34">
        <f>F28*AD28</f>
        <v>32.350199999999994</v>
      </c>
      <c r="H28" s="4"/>
      <c r="I28" s="34">
        <f>H28*AD28</f>
        <v>0</v>
      </c>
      <c r="J28" s="4"/>
      <c r="K28" s="34">
        <f>J28*AD28</f>
        <v>0</v>
      </c>
      <c r="L28" s="4">
        <v>162000</v>
      </c>
      <c r="M28" s="34">
        <f>L28*AD28</f>
        <v>29.115179999999995</v>
      </c>
      <c r="O28" s="34">
        <f>N28*AD28</f>
        <v>0</v>
      </c>
      <c r="Q28" s="34">
        <f>P28*AD28</f>
        <v>0</v>
      </c>
      <c r="R28" s="4"/>
      <c r="S28" s="4"/>
      <c r="T28" s="4" t="s">
        <v>148</v>
      </c>
      <c r="U28" s="4"/>
      <c r="V28" s="4"/>
      <c r="W28" s="4"/>
      <c r="X28" s="4"/>
      <c r="Y28" s="4"/>
      <c r="Z28" s="4"/>
      <c r="AA28" s="4"/>
      <c r="AB28" s="4" t="s">
        <v>186</v>
      </c>
      <c r="AC28" s="34">
        <f>B28+D28+F28+H28+J28+L28+N28+P28</f>
        <v>396000</v>
      </c>
      <c r="AD28" s="62">
        <f>539.17/3000000</f>
        <v>0.0001797233333333333</v>
      </c>
      <c r="AE28" s="62">
        <f>AC28*AD28</f>
        <v>71.17043999999999</v>
      </c>
      <c r="AG28" s="34">
        <v>26</v>
      </c>
    </row>
    <row r="29" spans="1:33" ht="14.25">
      <c r="A29" s="2">
        <v>43493</v>
      </c>
      <c r="B29" s="4"/>
      <c r="C29" s="34">
        <f>B29*AD29</f>
        <v>0</v>
      </c>
      <c r="D29" s="4">
        <f>13500+11000</f>
        <v>24500</v>
      </c>
      <c r="E29" s="34">
        <f>D29*AD29</f>
        <v>4.403221666666666</v>
      </c>
      <c r="F29" s="4">
        <f>60000+55000+60000</f>
        <v>175000</v>
      </c>
      <c r="G29" s="34">
        <f>F29*AD29</f>
        <v>31.45158333333333</v>
      </c>
      <c r="H29" s="4"/>
      <c r="I29" s="34">
        <f>H29*AD29</f>
        <v>0</v>
      </c>
      <c r="J29" s="4"/>
      <c r="K29" s="34">
        <f>J29*AD29</f>
        <v>0</v>
      </c>
      <c r="L29" s="4">
        <v>162000</v>
      </c>
      <c r="M29" s="34">
        <f>L29*AD29</f>
        <v>29.115179999999995</v>
      </c>
      <c r="O29" s="34">
        <f>N29*AD29</f>
        <v>0</v>
      </c>
      <c r="Q29" s="34">
        <f>P29*AD29</f>
        <v>0</v>
      </c>
      <c r="R29" s="4"/>
      <c r="S29" s="4"/>
      <c r="T29" s="4" t="s">
        <v>148</v>
      </c>
      <c r="U29" s="4"/>
      <c r="V29" s="4"/>
      <c r="W29" s="4"/>
      <c r="X29" s="4"/>
      <c r="Y29" s="4"/>
      <c r="Z29" s="4"/>
      <c r="AA29" s="4"/>
      <c r="AB29" s="4" t="s">
        <v>186</v>
      </c>
      <c r="AC29" s="34">
        <f>B29+D29+F29+H29+J29+L29+N29+P29</f>
        <v>361500</v>
      </c>
      <c r="AD29" s="62">
        <f>539.17/3000000</f>
        <v>0.0001797233333333333</v>
      </c>
      <c r="AE29" s="62">
        <f>AC29*AD29</f>
        <v>64.969985</v>
      </c>
      <c r="AG29" s="34">
        <v>26</v>
      </c>
    </row>
    <row r="30" spans="1:33" ht="14.25">
      <c r="A30" s="2">
        <v>43494</v>
      </c>
      <c r="B30" s="4">
        <f>192000*2</f>
        <v>384000</v>
      </c>
      <c r="C30" s="34">
        <f>B30*AD30</f>
        <v>69.01375999999999</v>
      </c>
      <c r="D30" s="4">
        <f>20000</f>
        <v>20000</v>
      </c>
      <c r="E30" s="34">
        <f>D30*AD30</f>
        <v>3.594466666666666</v>
      </c>
      <c r="F30" s="4">
        <f>45000+100000+186000</f>
        <v>331000</v>
      </c>
      <c r="G30" s="34">
        <f>F30*AD30</f>
        <v>59.48842333333332</v>
      </c>
      <c r="H30" s="4"/>
      <c r="I30" s="34">
        <f>H30*AD30</f>
        <v>0</v>
      </c>
      <c r="J30" s="4"/>
      <c r="K30" s="34">
        <f>J30*AD30</f>
        <v>0</v>
      </c>
      <c r="L30" s="4">
        <v>202000</v>
      </c>
      <c r="M30" s="34">
        <f>L30*AD30</f>
        <v>36.304113333333326</v>
      </c>
      <c r="O30" s="34">
        <f>N30*AD30</f>
        <v>0</v>
      </c>
      <c r="Q30" s="34">
        <f>P30*AD30</f>
        <v>0</v>
      </c>
      <c r="R30" s="4"/>
      <c r="S30" s="4"/>
      <c r="T30" s="4" t="s">
        <v>148</v>
      </c>
      <c r="U30" s="4"/>
      <c r="V30" s="4"/>
      <c r="W30" s="4"/>
      <c r="X30" s="4"/>
      <c r="Y30" s="4"/>
      <c r="Z30" s="4"/>
      <c r="AA30" s="4"/>
      <c r="AB30" s="4" t="s">
        <v>187</v>
      </c>
      <c r="AC30" s="34">
        <f>B30+D30+F30+H30+J30+L30+N30+P30</f>
        <v>937000</v>
      </c>
      <c r="AD30" s="62">
        <f>539.17/3000000</f>
        <v>0.0001797233333333333</v>
      </c>
      <c r="AE30" s="62">
        <f>AC30*AD30</f>
        <v>168.40076333333332</v>
      </c>
      <c r="AG30" s="34">
        <v>26</v>
      </c>
    </row>
    <row r="31" spans="1:33" ht="14.25">
      <c r="A31" s="2">
        <v>43495</v>
      </c>
      <c r="B31" s="4">
        <f>13000*2+16000*2+180000*2</f>
        <v>418000</v>
      </c>
      <c r="C31" s="34">
        <f>B31*AD31</f>
        <v>75.12435333333332</v>
      </c>
      <c r="D31" s="4">
        <f>18000+30000+20000</f>
        <v>68000</v>
      </c>
      <c r="E31" s="34">
        <f>D31*AD31</f>
        <v>12.221186666666664</v>
      </c>
      <c r="F31" s="4">
        <f>150000+55000+90000</f>
        <v>295000</v>
      </c>
      <c r="G31" s="34">
        <f>F31*AD31</f>
        <v>53.018383333333325</v>
      </c>
      <c r="H31" s="4">
        <f>15000*2</f>
        <v>30000</v>
      </c>
      <c r="I31" s="34">
        <f>H31*AD31</f>
        <v>5.391699999999999</v>
      </c>
      <c r="J31" s="4"/>
      <c r="K31" s="34">
        <f>J31*AD31</f>
        <v>0</v>
      </c>
      <c r="L31" s="4">
        <v>202000</v>
      </c>
      <c r="M31" s="34">
        <f>L31*AD31</f>
        <v>36.304113333333326</v>
      </c>
      <c r="O31" s="34">
        <f>N31*AD31</f>
        <v>0</v>
      </c>
      <c r="Q31" s="34">
        <f>P31*AD31</f>
        <v>0</v>
      </c>
      <c r="R31" s="4"/>
      <c r="S31" s="4"/>
      <c r="T31" s="4" t="s">
        <v>148</v>
      </c>
      <c r="U31" s="4"/>
      <c r="V31" s="4"/>
      <c r="W31" s="4"/>
      <c r="X31" s="4"/>
      <c r="Y31" s="4"/>
      <c r="Z31" s="4"/>
      <c r="AA31" s="4"/>
      <c r="AB31" s="4" t="s">
        <v>188</v>
      </c>
      <c r="AC31" s="34">
        <f>B31+D31+F31+H31+J31+L31+N31+P31</f>
        <v>1013000</v>
      </c>
      <c r="AD31" s="62">
        <f>539.17/3000000</f>
        <v>0.0001797233333333333</v>
      </c>
      <c r="AE31" s="62">
        <f>AC31*AD31</f>
        <v>182.05973666666665</v>
      </c>
      <c r="AG31" s="34">
        <v>26</v>
      </c>
    </row>
    <row r="32" spans="1:33" ht="14.25">
      <c r="A32" s="2">
        <v>43496</v>
      </c>
      <c r="B32" s="4"/>
      <c r="C32" s="34">
        <f>B32*AD32</f>
        <v>0</v>
      </c>
      <c r="D32" s="4">
        <f>55000+14000</f>
        <v>69000</v>
      </c>
      <c r="E32" s="34">
        <f>D32*AD32</f>
        <v>12.400909999999998</v>
      </c>
      <c r="F32" s="4">
        <f>55000+90000+96000</f>
        <v>241000</v>
      </c>
      <c r="G32" s="34">
        <f>F32*AD32</f>
        <v>43.31332333333333</v>
      </c>
      <c r="H32" s="4"/>
      <c r="I32" s="34">
        <f>H32*AD32</f>
        <v>0</v>
      </c>
      <c r="J32" s="4"/>
      <c r="K32" s="34">
        <f>J32*AD32</f>
        <v>0</v>
      </c>
      <c r="L32" s="4">
        <v>202000</v>
      </c>
      <c r="M32" s="34">
        <f>L32*AD32</f>
        <v>36.304113333333326</v>
      </c>
      <c r="O32" s="34">
        <f>N32*AD32</f>
        <v>0</v>
      </c>
      <c r="Q32" s="34">
        <f>P32*AD32</f>
        <v>0</v>
      </c>
      <c r="R32" s="4"/>
      <c r="S32" s="4"/>
      <c r="T32" s="4" t="s">
        <v>148</v>
      </c>
      <c r="U32" s="4"/>
      <c r="V32" s="4"/>
      <c r="W32" s="4"/>
      <c r="X32" s="4"/>
      <c r="Y32" s="4"/>
      <c r="Z32" s="4"/>
      <c r="AA32" s="4"/>
      <c r="AB32" s="4" t="s">
        <v>188</v>
      </c>
      <c r="AC32" s="34">
        <f>B32+D32+F32+H32+J32+L32+N32+P32</f>
        <v>512000</v>
      </c>
      <c r="AD32" s="62">
        <f>539.17/3000000</f>
        <v>0.0001797233333333333</v>
      </c>
      <c r="AE32" s="62">
        <f>AC32*AD32</f>
        <v>92.01834666666666</v>
      </c>
      <c r="AG32" s="34">
        <v>26</v>
      </c>
    </row>
    <row r="33" spans="1:33" ht="14.25">
      <c r="A33" s="4"/>
      <c r="B33" s="4"/>
      <c r="C33" s="34">
        <f>B33*AD33</f>
        <v>0</v>
      </c>
      <c r="D33" s="4"/>
      <c r="E33" s="34">
        <f>D33*AD33</f>
        <v>0</v>
      </c>
      <c r="F33" s="4"/>
      <c r="G33" s="34">
        <f>F33*AD33</f>
        <v>0</v>
      </c>
      <c r="H33" s="4"/>
      <c r="I33" s="34">
        <f>H33*AD33</f>
        <v>0</v>
      </c>
      <c r="J33" s="4"/>
      <c r="K33" s="34">
        <f>J33*AD33</f>
        <v>0</v>
      </c>
      <c r="L33" s="4"/>
      <c r="M33" s="34">
        <f>L33*AD33</f>
        <v>0</v>
      </c>
      <c r="O33" s="34">
        <f>N33*AD33</f>
        <v>0</v>
      </c>
      <c r="Q33" s="34">
        <f>P33*AD33</f>
        <v>0</v>
      </c>
      <c r="AC33" s="34">
        <f>B33+D33+F33+H33+J33+L33+N33+P33</f>
        <v>0</v>
      </c>
      <c r="AD33" s="62">
        <f>539.17/3000000</f>
        <v>0.0001797233333333333</v>
      </c>
      <c r="AE33" s="62">
        <f>AC33*AD33</f>
        <v>0</v>
      </c>
      <c r="AG33" s="34">
        <v>26</v>
      </c>
    </row>
    <row r="34" spans="1:33" ht="14.25">
      <c r="A34" s="4"/>
      <c r="B34" s="4"/>
      <c r="C34" s="34">
        <f>B34*AD34</f>
        <v>0</v>
      </c>
      <c r="D34" s="4"/>
      <c r="E34" s="34">
        <f>D34*AD34</f>
        <v>0</v>
      </c>
      <c r="F34" s="4"/>
      <c r="G34" s="34">
        <f>F34*AD34</f>
        <v>0</v>
      </c>
      <c r="H34" s="4"/>
      <c r="I34" s="34">
        <f>H34*AD34</f>
        <v>0</v>
      </c>
      <c r="J34" s="4"/>
      <c r="K34" s="34">
        <f>J34*AD34</f>
        <v>0</v>
      </c>
      <c r="L34" s="4"/>
      <c r="M34" s="34">
        <f>L34*AD34</f>
        <v>0</v>
      </c>
      <c r="O34" s="34">
        <f>N34*AD34</f>
        <v>0</v>
      </c>
      <c r="Q34" s="34">
        <f>P34*AD34</f>
        <v>0</v>
      </c>
      <c r="AC34" s="34">
        <f>B34+D34+F34+H34+J34+L34+N34+P34</f>
        <v>0</v>
      </c>
      <c r="AD34" s="62">
        <f>539.17/3000000</f>
        <v>0.0001797233333333333</v>
      </c>
      <c r="AE34" s="62">
        <f>AC34*AD34</f>
        <v>0</v>
      </c>
      <c r="AG34" s="34">
        <v>26</v>
      </c>
    </row>
    <row r="35" spans="1:33" ht="14.25">
      <c r="A35" s="4"/>
      <c r="B35" s="4"/>
      <c r="C35" s="34">
        <f>B35*AD35</f>
        <v>0</v>
      </c>
      <c r="D35" s="4"/>
      <c r="E35" s="34">
        <f>D35*AD35</f>
        <v>0</v>
      </c>
      <c r="F35" s="4"/>
      <c r="G35" s="34">
        <f>F35*AD35</f>
        <v>0</v>
      </c>
      <c r="H35" s="4"/>
      <c r="I35" s="34">
        <f>H35*AD35</f>
        <v>0</v>
      </c>
      <c r="J35" s="4"/>
      <c r="K35" s="34">
        <f>J35*AD35</f>
        <v>0</v>
      </c>
      <c r="L35" s="4"/>
      <c r="M35" s="34">
        <f>L35*AD35</f>
        <v>0</v>
      </c>
      <c r="O35" s="34">
        <f>N35*AD35</f>
        <v>0</v>
      </c>
      <c r="Q35" s="34">
        <f>P35*AD35</f>
        <v>0</v>
      </c>
      <c r="AC35" s="34">
        <f>B35+D35+F35+H35+J35+L35+N35+P35</f>
        <v>0</v>
      </c>
      <c r="AD35" s="34">
        <v>0.07063000000000001</v>
      </c>
      <c r="AE35" s="62">
        <f>AC35*AD35</f>
        <v>0</v>
      </c>
      <c r="AG35" s="34">
        <v>26</v>
      </c>
    </row>
    <row r="36" spans="1:31" ht="14.25">
      <c r="A36" s="4"/>
      <c r="B36" s="4"/>
      <c r="C36" s="34">
        <f>B36*AD36</f>
        <v>0</v>
      </c>
      <c r="D36" s="4"/>
      <c r="E36" s="34">
        <f>D36*AD36</f>
        <v>0</v>
      </c>
      <c r="F36" s="4"/>
      <c r="G36" s="34">
        <f>F36*AD36</f>
        <v>0</v>
      </c>
      <c r="H36" s="4"/>
      <c r="I36" s="34">
        <f>H36*AD36</f>
        <v>0</v>
      </c>
      <c r="J36" s="4"/>
      <c r="K36" s="34">
        <f>J36*AD36</f>
        <v>0</v>
      </c>
      <c r="L36" s="4"/>
      <c r="M36" s="34">
        <f>L36*AD36</f>
        <v>0</v>
      </c>
      <c r="O36" s="34">
        <f>N36*AD36</f>
        <v>0</v>
      </c>
      <c r="Q36" s="34">
        <f>P36*AD36</f>
        <v>0</v>
      </c>
      <c r="AC36" s="34">
        <f>B36+D36+F36+H36+J36+L36+N36+P36</f>
        <v>0</v>
      </c>
      <c r="AD36" s="34">
        <v>0.07063000000000001</v>
      </c>
      <c r="AE36" s="62">
        <f>AC36*AD36</f>
        <v>0</v>
      </c>
    </row>
    <row r="37" spans="1:31" ht="14.25">
      <c r="A37" s="4"/>
      <c r="B37" s="4"/>
      <c r="C37" s="34">
        <f>B37*AD37</f>
        <v>0</v>
      </c>
      <c r="D37" s="4"/>
      <c r="E37" s="34">
        <f>D37*AD37</f>
        <v>0</v>
      </c>
      <c r="F37" s="4"/>
      <c r="G37" s="34">
        <f>F37*AD37</f>
        <v>0</v>
      </c>
      <c r="H37" s="4"/>
      <c r="I37" s="34">
        <f>H37*AD37</f>
        <v>0</v>
      </c>
      <c r="J37" s="4"/>
      <c r="K37" s="34">
        <f>J37*AD37</f>
        <v>0</v>
      </c>
      <c r="L37" s="4"/>
      <c r="M37" s="34">
        <f>L37*AD37</f>
        <v>0</v>
      </c>
      <c r="O37" s="34">
        <f>N37*AD37</f>
        <v>0</v>
      </c>
      <c r="Q37" s="34">
        <f>P37*AD37</f>
        <v>0</v>
      </c>
      <c r="AC37" s="34">
        <f>B37+D37+F37+H37+J37+L37+N37+P37</f>
        <v>0</v>
      </c>
      <c r="AD37" s="34">
        <v>0.07063000000000001</v>
      </c>
      <c r="AE37" s="62">
        <f>AC37*AD37</f>
        <v>0</v>
      </c>
    </row>
    <row r="38" spans="1:45" ht="14.25">
      <c r="A38" s="4"/>
      <c r="B38" s="4"/>
      <c r="C38" s="34">
        <f>B38*AD38</f>
        <v>0</v>
      </c>
      <c r="D38" s="4"/>
      <c r="E38" s="34">
        <f>D38*AD38</f>
        <v>0</v>
      </c>
      <c r="F38" s="4"/>
      <c r="G38" s="34">
        <f>F38*AD38</f>
        <v>0</v>
      </c>
      <c r="H38" s="4"/>
      <c r="I38" s="34">
        <f>H38*AD38</f>
        <v>0</v>
      </c>
      <c r="J38" s="4"/>
      <c r="K38" s="34">
        <f>J38*AD38</f>
        <v>0</v>
      </c>
      <c r="L38" s="4"/>
      <c r="M38" s="34">
        <f>L38*AD38</f>
        <v>0</v>
      </c>
      <c r="O38" s="34">
        <f>N38*AD38</f>
        <v>0</v>
      </c>
      <c r="Q38" s="34">
        <f>P38*AD38</f>
        <v>0</v>
      </c>
      <c r="AC38" s="34">
        <f>B38+D38+F38+H38+J38+L38+N38+P38</f>
        <v>0</v>
      </c>
      <c r="AD38" s="34">
        <f>(693.63/600000)</f>
        <v>0.00115605</v>
      </c>
      <c r="AE38" s="62">
        <f>AC38*AD38</f>
        <v>0</v>
      </c>
      <c r="AS38" s="59"/>
    </row>
    <row r="39" spans="1:31" ht="14.25">
      <c r="A39"/>
      <c r="B39" s="4"/>
      <c r="C39" s="34">
        <f>B39*AD39</f>
        <v>0</v>
      </c>
      <c r="D39" s="4"/>
      <c r="E39" s="34">
        <f>D39*AD39</f>
        <v>0</v>
      </c>
      <c r="F39" s="4"/>
      <c r="G39" s="34">
        <f>F39*AD39</f>
        <v>0</v>
      </c>
      <c r="H39" s="4"/>
      <c r="I39" s="34">
        <f>H39*AD39</f>
        <v>0</v>
      </c>
      <c r="J39" s="4"/>
      <c r="K39" s="34">
        <f>J39*AD39</f>
        <v>0</v>
      </c>
      <c r="L39" s="4"/>
      <c r="M39" s="34">
        <f>L39*AD39</f>
        <v>0</v>
      </c>
      <c r="O39" s="34">
        <f>N39*AD39</f>
        <v>0</v>
      </c>
      <c r="Q39" s="34">
        <f>P39*AD39</f>
        <v>0</v>
      </c>
      <c r="AC39" s="34">
        <f>B39+D39+F39+H39+J39+L39+N39+P39</f>
        <v>0</v>
      </c>
      <c r="AD39" s="34">
        <f>(693.63/600000)</f>
        <v>0.00115605</v>
      </c>
      <c r="AE39" s="62">
        <f>AC39*AD39</f>
        <v>0</v>
      </c>
    </row>
    <row r="40" spans="1:31" ht="12.75">
      <c r="A40"/>
      <c r="B40" s="4"/>
      <c r="C40" s="34">
        <f>B40*AD40</f>
        <v>0</v>
      </c>
      <c r="D40" s="4"/>
      <c r="E40" s="34">
        <f>D40*AD40</f>
        <v>0</v>
      </c>
      <c r="F40" s="4"/>
      <c r="G40" s="34">
        <f>F40*AD40</f>
        <v>0</v>
      </c>
      <c r="H40" s="4"/>
      <c r="I40" s="34">
        <f>H40*AD40</f>
        <v>0</v>
      </c>
      <c r="J40" s="4"/>
      <c r="K40" s="34">
        <f>J40*AD40</f>
        <v>0</v>
      </c>
      <c r="L40" s="4"/>
      <c r="M40" s="34">
        <f>L40*AD40</f>
        <v>0</v>
      </c>
      <c r="O40" s="34">
        <f>N40*AD40</f>
        <v>0</v>
      </c>
      <c r="Q40" s="34">
        <f>P40*AD40</f>
        <v>0</v>
      </c>
      <c r="AC40" s="34">
        <f>B40+D40+F40+H40+J40+L40+N40+P40</f>
        <v>0</v>
      </c>
      <c r="AD40" s="34">
        <f>(693.63/600000)</f>
        <v>0.00115605</v>
      </c>
      <c r="AE40" s="62">
        <f>AC40*AD40</f>
        <v>0</v>
      </c>
    </row>
    <row r="41" spans="1:31" ht="12.75">
      <c r="A41"/>
      <c r="B41" s="4"/>
      <c r="C41" s="34">
        <f>B41*AD41</f>
        <v>0</v>
      </c>
      <c r="D41" s="4"/>
      <c r="E41" s="34">
        <f>D41*AD41</f>
        <v>0</v>
      </c>
      <c r="F41" s="4"/>
      <c r="G41" s="34">
        <f>F41*AD41</f>
        <v>0</v>
      </c>
      <c r="H41" s="4"/>
      <c r="I41" s="34">
        <f>H41*AD41</f>
        <v>0</v>
      </c>
      <c r="J41" s="4"/>
      <c r="K41" s="34">
        <f>J41*AD41</f>
        <v>0</v>
      </c>
      <c r="L41" s="4"/>
      <c r="M41" s="34">
        <f>L41*AD41</f>
        <v>0</v>
      </c>
      <c r="O41" s="34">
        <f>N41*AD41</f>
        <v>0</v>
      </c>
      <c r="Q41" s="34">
        <f>P41*AD41</f>
        <v>0</v>
      </c>
      <c r="AC41" s="34">
        <f>B41+D41+F41+H41+J41+L41+N41+P41</f>
        <v>0</v>
      </c>
      <c r="AD41" s="34">
        <f>(693.63/600000)</f>
        <v>0.00115605</v>
      </c>
      <c r="AE41" s="62">
        <f>AC41*AD41</f>
        <v>0</v>
      </c>
    </row>
    <row r="42" spans="1:31" ht="12.75">
      <c r="A42"/>
      <c r="B42" s="4"/>
      <c r="C42" s="34">
        <f>B42*AD42</f>
        <v>0</v>
      </c>
      <c r="D42" s="4"/>
      <c r="E42" s="34">
        <f>D42*AD42</f>
        <v>0</v>
      </c>
      <c r="F42" s="4"/>
      <c r="G42" s="34">
        <f>F42*AD42</f>
        <v>0</v>
      </c>
      <c r="H42" s="4"/>
      <c r="I42" s="34">
        <f>H42*AD42</f>
        <v>0</v>
      </c>
      <c r="J42" s="4"/>
      <c r="K42" s="34">
        <f>J42*AD42</f>
        <v>0</v>
      </c>
      <c r="L42" s="4"/>
      <c r="M42" s="34">
        <f>L42*AD42</f>
        <v>0</v>
      </c>
      <c r="O42" s="34">
        <f>N42*AD42</f>
        <v>0</v>
      </c>
      <c r="Q42" s="34">
        <f>P42*AD42</f>
        <v>0</v>
      </c>
      <c r="AC42" s="34">
        <f>B42+D42+F42+H42+J42+L42+N42+P42</f>
        <v>0</v>
      </c>
      <c r="AD42" s="34">
        <f>(693.63/600000)</f>
        <v>0.00115605</v>
      </c>
      <c r="AE42" s="62">
        <f>AC42*AD42</f>
        <v>0</v>
      </c>
    </row>
    <row r="43" spans="1:31" ht="12.75">
      <c r="A43"/>
      <c r="B43" s="4"/>
      <c r="C43" s="34">
        <f>B43*AD43</f>
        <v>0</v>
      </c>
      <c r="D43" s="4"/>
      <c r="E43" s="34">
        <f>D43*AD43</f>
        <v>0</v>
      </c>
      <c r="F43" s="4"/>
      <c r="G43" s="34">
        <f>F43*AD43</f>
        <v>0</v>
      </c>
      <c r="H43" s="4"/>
      <c r="I43" s="34">
        <f>H43*AD43</f>
        <v>0</v>
      </c>
      <c r="K43" s="34">
        <f>J43*AD43</f>
        <v>0</v>
      </c>
      <c r="M43" s="34">
        <f>L43*AD43</f>
        <v>0</v>
      </c>
      <c r="O43" s="34">
        <f>N43*AD43</f>
        <v>0</v>
      </c>
      <c r="Q43" s="34">
        <f>P43*AD43</f>
        <v>0</v>
      </c>
      <c r="AC43" s="34">
        <f>B43+D43+F43+H43+J43+L43+N43+P43</f>
        <v>0</v>
      </c>
      <c r="AD43" s="34">
        <f>(693.63/600000)</f>
        <v>0.00115605</v>
      </c>
      <c r="AE43" s="62">
        <f>AC43*AD43</f>
        <v>0</v>
      </c>
    </row>
    <row r="44" spans="3:31" ht="12.75">
      <c r="C44" s="34">
        <f>B44*AD44</f>
        <v>0</v>
      </c>
      <c r="E44" s="34">
        <f>D44*AD44</f>
        <v>0</v>
      </c>
      <c r="G44" s="34">
        <f>F44*AD44</f>
        <v>0</v>
      </c>
      <c r="I44" s="34">
        <f>H44*AD44</f>
        <v>0</v>
      </c>
      <c r="K44" s="34">
        <f>J44*AD44</f>
        <v>0</v>
      </c>
      <c r="M44" s="34">
        <f>L44*AD44</f>
        <v>0</v>
      </c>
      <c r="O44" s="34">
        <f>N44*AD44</f>
        <v>0</v>
      </c>
      <c r="Q44" s="34">
        <f>P44*AD44</f>
        <v>0</v>
      </c>
      <c r="AC44" s="34">
        <f>B44+D44+F44+H44+J44+L44+N44+P44</f>
        <v>0</v>
      </c>
      <c r="AD44" s="34">
        <f>(693.63/600000)</f>
        <v>0.00115605</v>
      </c>
      <c r="AE44" s="62">
        <f>AC44*AD44</f>
        <v>0</v>
      </c>
    </row>
    <row r="45" spans="3:31" ht="12.75">
      <c r="C45" s="34">
        <f>B45*AD45</f>
        <v>0</v>
      </c>
      <c r="E45" s="34">
        <f>D45*AD45</f>
        <v>0</v>
      </c>
      <c r="G45" s="34">
        <f>F45*AD45</f>
        <v>0</v>
      </c>
      <c r="I45" s="34">
        <f>H45*AD45</f>
        <v>0</v>
      </c>
      <c r="K45" s="34">
        <f>J45*AD45</f>
        <v>0</v>
      </c>
      <c r="M45" s="34">
        <f>L45*AD45</f>
        <v>0</v>
      </c>
      <c r="O45" s="34">
        <f>N45*AD45</f>
        <v>0</v>
      </c>
      <c r="Q45" s="34">
        <f>P45*AD45</f>
        <v>0</v>
      </c>
      <c r="AC45" s="34">
        <f>B45+D45+F45+H45+J45+L45+N45+P45</f>
        <v>0</v>
      </c>
      <c r="AD45" s="34">
        <f>(693.63/600000)</f>
        <v>0.00115605</v>
      </c>
      <c r="AE45" s="62">
        <f>AC45*AD45</f>
        <v>0</v>
      </c>
    </row>
    <row r="46" spans="3:31" ht="12.75">
      <c r="C46" s="34">
        <f>B46*AD46</f>
        <v>0</v>
      </c>
      <c r="E46" s="34">
        <f>D46*AD46</f>
        <v>0</v>
      </c>
      <c r="G46" s="34">
        <f>F46*AD46</f>
        <v>0</v>
      </c>
      <c r="I46" s="34">
        <f>H46*AD46</f>
        <v>0</v>
      </c>
      <c r="K46" s="34">
        <f>J46*AD46</f>
        <v>0</v>
      </c>
      <c r="M46" s="34">
        <f>L46*AD46</f>
        <v>0</v>
      </c>
      <c r="O46" s="34">
        <f>N46*AD46</f>
        <v>0</v>
      </c>
      <c r="Q46" s="34">
        <f>P46*AD46</f>
        <v>0</v>
      </c>
      <c r="AC46" s="34">
        <f>B46+D46+F46+H46+J46+L46+N46+P46</f>
        <v>0</v>
      </c>
      <c r="AD46" s="34">
        <f>(693.63/600000)</f>
        <v>0.00115605</v>
      </c>
      <c r="AE46" s="62">
        <f>AC46*AD46</f>
        <v>0</v>
      </c>
    </row>
    <row r="47" spans="3:31" ht="12.75">
      <c r="C47" s="34">
        <f>B47*AD47</f>
        <v>0</v>
      </c>
      <c r="E47" s="34">
        <f>D47*AD47</f>
        <v>0</v>
      </c>
      <c r="G47" s="34">
        <f>F47*AD47</f>
        <v>0</v>
      </c>
      <c r="I47" s="34">
        <f>H47*AD47</f>
        <v>0</v>
      </c>
      <c r="K47" s="34">
        <f>J47*AD47</f>
        <v>0</v>
      </c>
      <c r="M47" s="34">
        <f>L47*AD47</f>
        <v>0</v>
      </c>
      <c r="O47" s="34">
        <f>N47*AD47</f>
        <v>0</v>
      </c>
      <c r="Q47" s="34">
        <f>P47*AD47</f>
        <v>0</v>
      </c>
      <c r="AC47" s="34">
        <f>B47+D47+F47+H47+J47+L47+N47+P47</f>
        <v>0</v>
      </c>
      <c r="AD47" s="34">
        <f>(693.63/600000)</f>
        <v>0.00115605</v>
      </c>
      <c r="AE47" s="40">
        <f>AC47*AD47</f>
        <v>0</v>
      </c>
    </row>
    <row r="48" spans="3:31" ht="12.75">
      <c r="C48" s="34">
        <f>B48*AD48</f>
        <v>0</v>
      </c>
      <c r="E48" s="34">
        <f>D48*AD48</f>
        <v>0</v>
      </c>
      <c r="G48" s="34">
        <f>F48*AD48</f>
        <v>0</v>
      </c>
      <c r="I48" s="34">
        <f>H48*AD48</f>
        <v>0</v>
      </c>
      <c r="K48" s="34">
        <f>J48*AD48</f>
        <v>0</v>
      </c>
      <c r="M48" s="34">
        <f>L48*AD48</f>
        <v>0</v>
      </c>
      <c r="O48" s="34">
        <f>N48*AD48</f>
        <v>0</v>
      </c>
      <c r="Q48" s="34">
        <f>P48*AD48</f>
        <v>0</v>
      </c>
      <c r="AC48" s="34">
        <f>B48+D48+F48+H48+J48+L48+N48+P48</f>
        <v>0</v>
      </c>
      <c r="AD48" s="34">
        <f>(693.63/600000)</f>
        <v>0.00115605</v>
      </c>
      <c r="AE48" s="40">
        <f>AC48*AD48</f>
        <v>0</v>
      </c>
    </row>
    <row r="49" spans="3:31" ht="12.75">
      <c r="C49" s="34">
        <f>B49*AD49</f>
        <v>0</v>
      </c>
      <c r="E49" s="34">
        <f>D49*AD49</f>
        <v>0</v>
      </c>
      <c r="G49" s="34">
        <f>F49*AD49</f>
        <v>0</v>
      </c>
      <c r="I49" s="34">
        <f>H49*AD49</f>
        <v>0</v>
      </c>
      <c r="K49" s="34">
        <f>J49*AD49</f>
        <v>0</v>
      </c>
      <c r="M49" s="34">
        <f>L49*AD49</f>
        <v>0</v>
      </c>
      <c r="O49" s="34">
        <f>N49*AD49</f>
        <v>0</v>
      </c>
      <c r="Q49" s="34">
        <f>P49*AD49</f>
        <v>0</v>
      </c>
      <c r="AC49" s="34">
        <f>B49+D49+F49+H49+J49+L49+N49</f>
        <v>0</v>
      </c>
      <c r="AD49" s="34">
        <v>0.0061</v>
      </c>
      <c r="AE49" s="40">
        <f>AC49*AD49</f>
        <v>0</v>
      </c>
    </row>
    <row r="50" spans="3:31" ht="12.75">
      <c r="C50" s="34">
        <f>B50*AD50</f>
        <v>0</v>
      </c>
      <c r="E50" s="34">
        <f>D50*AD50</f>
        <v>0</v>
      </c>
      <c r="G50" s="34">
        <f>F50*AD50</f>
        <v>0</v>
      </c>
      <c r="I50" s="34">
        <f>H50*AD50</f>
        <v>0</v>
      </c>
      <c r="K50" s="34">
        <f>J50*AD50</f>
        <v>0</v>
      </c>
      <c r="M50" s="34">
        <f>L50*AD50</f>
        <v>0</v>
      </c>
      <c r="O50" s="34">
        <f>N50*AD50</f>
        <v>0</v>
      </c>
      <c r="Q50" s="34">
        <f>P50*AD50</f>
        <v>0</v>
      </c>
      <c r="AC50" s="34">
        <f>B50+D50+F50+H50+J50+L50+N50</f>
        <v>0</v>
      </c>
      <c r="AD50" s="40">
        <f>539.17/3000000</f>
        <v>0.0001797233333333333</v>
      </c>
      <c r="AE50" s="40">
        <f>AC50*AD50</f>
        <v>0</v>
      </c>
    </row>
    <row r="51" spans="3:31" ht="12.75">
      <c r="C51" s="34">
        <f>B51*AD51</f>
        <v>0</v>
      </c>
      <c r="E51" s="34">
        <f>D51*AD51</f>
        <v>0</v>
      </c>
      <c r="G51" s="34">
        <f>F51*AD51</f>
        <v>0</v>
      </c>
      <c r="I51" s="34">
        <f>H51*AD51</f>
        <v>0</v>
      </c>
      <c r="K51" s="34">
        <f>J51*AD51</f>
        <v>0</v>
      </c>
      <c r="M51" s="34">
        <f>L51*AD51</f>
        <v>0</v>
      </c>
      <c r="O51" s="34">
        <f>N51*AD51</f>
        <v>0</v>
      </c>
      <c r="Q51" s="34">
        <f>P51*AD51</f>
        <v>0</v>
      </c>
      <c r="AC51" s="34">
        <f>B51+D51+F51+H51+J51+L51+N51</f>
        <v>0</v>
      </c>
      <c r="AE51" s="40">
        <f>AC51*AD51</f>
        <v>0</v>
      </c>
    </row>
    <row r="52" spans="3:31" ht="12.75">
      <c r="C52" s="34">
        <f>B52*AD52</f>
        <v>0</v>
      </c>
      <c r="E52" s="34">
        <f>D52*AD52</f>
        <v>0</v>
      </c>
      <c r="G52" s="34">
        <f>F52*AD52</f>
        <v>0</v>
      </c>
      <c r="I52" s="34">
        <f>H52*AD52</f>
        <v>0</v>
      </c>
      <c r="K52" s="34">
        <f>J52*AD52</f>
        <v>0</v>
      </c>
      <c r="M52" s="34">
        <f>L52*AD52</f>
        <v>0</v>
      </c>
      <c r="O52" s="34">
        <f>N52*AD52</f>
        <v>0</v>
      </c>
      <c r="Q52" s="34">
        <f>P52*AD52</f>
        <v>0</v>
      </c>
      <c r="AC52" s="34">
        <f>B52+D52+F52+H52+J52+L52+N52</f>
        <v>0</v>
      </c>
      <c r="AE52" s="40">
        <f>AC52*AD52</f>
        <v>0</v>
      </c>
    </row>
    <row r="53" spans="3:31" ht="12.75">
      <c r="C53" s="34">
        <f>B53*AD53</f>
        <v>0</v>
      </c>
      <c r="E53" s="34">
        <f>D53*AD53</f>
        <v>0</v>
      </c>
      <c r="G53" s="34">
        <f>F53*AD53</f>
        <v>0</v>
      </c>
      <c r="I53" s="34">
        <f>H53*AD53</f>
        <v>0</v>
      </c>
      <c r="K53" s="34">
        <f>J53*AD53</f>
        <v>0</v>
      </c>
      <c r="M53" s="34">
        <f>L53*AD53</f>
        <v>0</v>
      </c>
      <c r="O53" s="34">
        <f>N53*AD53</f>
        <v>0</v>
      </c>
      <c r="Q53" s="34">
        <f>P53*AD53</f>
        <v>0</v>
      </c>
      <c r="AC53" s="34">
        <f>B53+D53+F53+H53+J53+L53+N53</f>
        <v>0</v>
      </c>
      <c r="AE53" s="40">
        <f>AC53*AD53</f>
        <v>0</v>
      </c>
    </row>
    <row r="54" spans="3:31" ht="12.75">
      <c r="C54" s="34">
        <f>B54*AD54</f>
        <v>0</v>
      </c>
      <c r="E54" s="34">
        <f>D54*AD54</f>
        <v>0</v>
      </c>
      <c r="G54" s="34">
        <f>F54*AD54</f>
        <v>0</v>
      </c>
      <c r="I54" s="34">
        <f>H54*AD54</f>
        <v>0</v>
      </c>
      <c r="K54" s="34">
        <f>J54*AD54</f>
        <v>0</v>
      </c>
      <c r="M54" s="34">
        <f>L54*AD54</f>
        <v>0</v>
      </c>
      <c r="O54" s="34">
        <f>N54*AD54</f>
        <v>0</v>
      </c>
      <c r="Q54" s="34">
        <f>P54*AD54</f>
        <v>0</v>
      </c>
      <c r="AC54" s="34">
        <f>B54+D54+F54+H54+J54+L54+N54</f>
        <v>0</v>
      </c>
      <c r="AD54" s="34">
        <v>0.005925</v>
      </c>
      <c r="AE54" s="40">
        <f>AC54*AD54</f>
        <v>0</v>
      </c>
    </row>
    <row r="55" spans="3:31" ht="12.75">
      <c r="C55" s="34">
        <f>B55*AD55</f>
        <v>0</v>
      </c>
      <c r="E55" s="34">
        <f>D55*AD55</f>
        <v>0</v>
      </c>
      <c r="G55" s="34">
        <f>F55*AD55</f>
        <v>0</v>
      </c>
      <c r="I55" s="34">
        <f>H55*AD55</f>
        <v>0</v>
      </c>
      <c r="K55" s="34">
        <f>J55*AD55</f>
        <v>0</v>
      </c>
      <c r="M55" s="34">
        <f>L55*AD55</f>
        <v>0</v>
      </c>
      <c r="O55" s="34">
        <f>N55*AD55</f>
        <v>0</v>
      </c>
      <c r="Q55" s="34">
        <f>P55*AD55</f>
        <v>0</v>
      </c>
      <c r="AC55" s="34">
        <f>B55+D55+F55+H55+J55+L55+N55</f>
        <v>0</v>
      </c>
      <c r="AE55" s="40">
        <f>AC55*AD55</f>
        <v>0</v>
      </c>
    </row>
    <row r="56" spans="3:31" ht="12.75">
      <c r="C56" s="34">
        <f>B56*AD56</f>
        <v>0</v>
      </c>
      <c r="E56" s="34">
        <f>D56*AD56</f>
        <v>0</v>
      </c>
      <c r="G56" s="34">
        <f>F56*AD56</f>
        <v>0</v>
      </c>
      <c r="I56" s="34">
        <f>H56*AD56</f>
        <v>0</v>
      </c>
      <c r="K56" s="34">
        <f>J56*AD56</f>
        <v>0</v>
      </c>
      <c r="M56" s="34">
        <f>L56*AD56</f>
        <v>0</v>
      </c>
      <c r="O56" s="34">
        <f>N56*AD56</f>
        <v>0</v>
      </c>
      <c r="Q56" s="34">
        <f>P56*AD56</f>
        <v>0</v>
      </c>
      <c r="AC56" s="34">
        <f>B56+D56+F56+H56+J56+L56+N56</f>
        <v>0</v>
      </c>
      <c r="AE56" s="40">
        <f>AC56*AD56</f>
        <v>0</v>
      </c>
    </row>
    <row r="57" spans="3:31" ht="12.75">
      <c r="C57" s="34">
        <f>B57*AD57</f>
        <v>0</v>
      </c>
      <c r="E57" s="34">
        <f>D57*AD57</f>
        <v>0</v>
      </c>
      <c r="G57" s="34">
        <f>F57*AD57</f>
        <v>0</v>
      </c>
      <c r="I57" s="34">
        <f>H57*AD57</f>
        <v>0</v>
      </c>
      <c r="K57" s="34">
        <f>J57*AD57</f>
        <v>0</v>
      </c>
      <c r="M57" s="34">
        <f>L57*AD57</f>
        <v>0</v>
      </c>
      <c r="O57" s="34">
        <f>N57*AD57</f>
        <v>0</v>
      </c>
      <c r="Q57" s="34">
        <f>P57*AD57</f>
        <v>0</v>
      </c>
      <c r="AC57" s="34">
        <f>B57+D57+F57+H57+J57+L57+N57</f>
        <v>0</v>
      </c>
      <c r="AE57" s="40">
        <f>AC57*AD57</f>
        <v>0</v>
      </c>
    </row>
    <row r="58" spans="3:29" ht="12.75">
      <c r="C58" s="34">
        <f>B58*AD58</f>
        <v>0</v>
      </c>
      <c r="E58" s="34">
        <f>D58*AD58</f>
        <v>0</v>
      </c>
      <c r="G58" s="34">
        <f>F58*AD58</f>
        <v>0</v>
      </c>
      <c r="I58" s="34">
        <f>H58*AD58</f>
        <v>0</v>
      </c>
      <c r="K58" s="34">
        <f>J58*AD58</f>
        <v>0</v>
      </c>
      <c r="M58" s="34">
        <f>L58*AD58</f>
        <v>0</v>
      </c>
      <c r="O58" s="34">
        <f>N58*AD58</f>
        <v>0</v>
      </c>
      <c r="Q58" s="34">
        <f>P58*AD58</f>
        <v>0</v>
      </c>
      <c r="AC58" s="34">
        <f>B58+D58+F58+H58+J58+L58+N58</f>
        <v>0</v>
      </c>
    </row>
    <row r="59" spans="3:29" ht="12.75">
      <c r="C59" s="34">
        <f>B59*AD59</f>
        <v>0</v>
      </c>
      <c r="E59" s="34">
        <f>D59*AD59</f>
        <v>0</v>
      </c>
      <c r="G59" s="34">
        <f>F59*AD59</f>
        <v>0</v>
      </c>
      <c r="I59" s="34">
        <f>H59*AD59</f>
        <v>0</v>
      </c>
      <c r="K59" s="34">
        <f>J59*AD59</f>
        <v>0</v>
      </c>
      <c r="M59" s="34">
        <f>L59*AD59</f>
        <v>0</v>
      </c>
      <c r="O59" s="34">
        <f>N59*AD59</f>
        <v>0</v>
      </c>
      <c r="Q59" s="34">
        <f>P59*AD59</f>
        <v>0</v>
      </c>
      <c r="AC59" s="34">
        <f>B59+D59+F59+H59+J59+L59+N59</f>
        <v>0</v>
      </c>
    </row>
    <row r="60" spans="3:29" ht="12.75">
      <c r="C60" s="34">
        <f>B60*AD60</f>
        <v>0</v>
      </c>
      <c r="E60" s="34">
        <f>D60*AD60</f>
        <v>0</v>
      </c>
      <c r="G60" s="34">
        <f>F60*AD60</f>
        <v>0</v>
      </c>
      <c r="I60" s="34">
        <f>H60*AD60</f>
        <v>0</v>
      </c>
      <c r="K60" s="34">
        <f>J60*AD60</f>
        <v>0</v>
      </c>
      <c r="M60" s="34">
        <f>L60*AD60</f>
        <v>0</v>
      </c>
      <c r="O60" s="34">
        <f>N60*AD60</f>
        <v>0</v>
      </c>
      <c r="AC60" s="34">
        <f>B60+D60+F60+H60+J60+L60+N60</f>
        <v>0</v>
      </c>
    </row>
    <row r="61" spans="3:29" ht="12.75">
      <c r="C61" s="34">
        <f>B61*AD61</f>
        <v>0</v>
      </c>
      <c r="E61" s="34">
        <f>D61*AD61</f>
        <v>0</v>
      </c>
      <c r="G61" s="34">
        <f>F61*AD61</f>
        <v>0</v>
      </c>
      <c r="I61" s="34">
        <f>H61*AD61</f>
        <v>0</v>
      </c>
      <c r="K61" s="34">
        <f>J61*AD61</f>
        <v>0</v>
      </c>
      <c r="M61" s="34">
        <f>L61*AD61</f>
        <v>0</v>
      </c>
      <c r="O61" s="34">
        <f>N61*AD61</f>
        <v>0</v>
      </c>
      <c r="AC61" s="34">
        <f>B61+D61+F61+H61+J61+L61+N61</f>
        <v>0</v>
      </c>
    </row>
    <row r="62" spans="3:29" ht="12.75">
      <c r="C62" s="34">
        <f>B62*AD62</f>
        <v>0</v>
      </c>
      <c r="E62" s="34">
        <f>D62*AD62</f>
        <v>0</v>
      </c>
      <c r="G62" s="34">
        <f>F62*AD62</f>
        <v>0</v>
      </c>
      <c r="I62" s="34">
        <f>H62*AD62</f>
        <v>0</v>
      </c>
      <c r="K62" s="34">
        <f>J62*AD62</f>
        <v>0</v>
      </c>
      <c r="M62" s="34">
        <f>L62*AD62</f>
        <v>0</v>
      </c>
      <c r="AC62" s="34">
        <f>B62+D62+F62+H62+J62+L62+N62</f>
        <v>0</v>
      </c>
    </row>
    <row r="63" spans="3:29" ht="12.75">
      <c r="C63" s="34">
        <f>B63*AD63</f>
        <v>0</v>
      </c>
      <c r="E63" s="34">
        <f>D63*AD63</f>
        <v>0</v>
      </c>
      <c r="G63" s="34">
        <f>F63*AD63</f>
        <v>0</v>
      </c>
      <c r="I63" s="34">
        <f>H63*AD63</f>
        <v>0</v>
      </c>
      <c r="K63" s="34">
        <f>J63*AD63</f>
        <v>0</v>
      </c>
      <c r="M63" s="34">
        <f>L63*AD63</f>
        <v>0</v>
      </c>
      <c r="AC63" s="34">
        <f>B63+D63+F63+H63+J63+L63+N63</f>
        <v>0</v>
      </c>
    </row>
    <row r="64" spans="3:29" ht="12.75">
      <c r="C64" s="34">
        <f>B64*AD64</f>
        <v>0</v>
      </c>
      <c r="E64" s="34">
        <f>D64*AD64</f>
        <v>0</v>
      </c>
      <c r="G64" s="34">
        <f>F64*AD64</f>
        <v>0</v>
      </c>
      <c r="I64" s="34">
        <f>H64*AD64</f>
        <v>0</v>
      </c>
      <c r="K64" s="34">
        <f>J64*AD64</f>
        <v>0</v>
      </c>
      <c r="M64" s="34">
        <f>L64*AD64</f>
        <v>0</v>
      </c>
      <c r="AC64" s="34">
        <f>B64+D64+F64+H64+J64+L64+N64</f>
        <v>0</v>
      </c>
    </row>
    <row r="65" spans="3:29" ht="12.75">
      <c r="C65" s="34">
        <f>B65*AD65</f>
        <v>0</v>
      </c>
      <c r="E65" s="34">
        <f>D65*AD65</f>
        <v>0</v>
      </c>
      <c r="G65" s="34">
        <f>F65*AD65</f>
        <v>0</v>
      </c>
      <c r="I65" s="34">
        <f>H65*AD65</f>
        <v>0</v>
      </c>
      <c r="K65" s="34">
        <f>J65*AD65</f>
        <v>0</v>
      </c>
      <c r="M65" s="34">
        <f>L65*AD65</f>
        <v>0</v>
      </c>
      <c r="AC65" s="34">
        <f>B65+D65+F65+H65+J65+L65+N65</f>
        <v>0</v>
      </c>
    </row>
    <row r="66" spans="3:29" ht="12.75">
      <c r="C66" s="34">
        <f>B66*AD66</f>
        <v>0</v>
      </c>
      <c r="E66" s="34">
        <f>D66*AD66</f>
        <v>0</v>
      </c>
      <c r="G66" s="34">
        <f>F66*AD66</f>
        <v>0</v>
      </c>
      <c r="I66" s="34">
        <f>H66*AD66</f>
        <v>0</v>
      </c>
      <c r="K66" s="34">
        <f>J66*AD66</f>
        <v>0</v>
      </c>
      <c r="M66" s="34">
        <f>L66*AD66</f>
        <v>0</v>
      </c>
      <c r="AC66" s="34">
        <f>B66+D66+F66+H66+J66+L66+N66</f>
        <v>0</v>
      </c>
    </row>
    <row r="67" spans="3:29" ht="12.75">
      <c r="C67" s="34">
        <f>B67*AD67</f>
        <v>0</v>
      </c>
      <c r="E67" s="34">
        <f>D67*AD67</f>
        <v>0</v>
      </c>
      <c r="G67" s="34">
        <f>F67*AD67</f>
        <v>0</v>
      </c>
      <c r="I67" s="34">
        <f>H67*AD67</f>
        <v>0</v>
      </c>
      <c r="K67" s="34">
        <f>J67*AD67</f>
        <v>0</v>
      </c>
      <c r="M67" s="34">
        <f>L67*AD67</f>
        <v>0</v>
      </c>
      <c r="AC67" s="34">
        <f>B67+D67+F67+H67+J67+L67+N67</f>
        <v>0</v>
      </c>
    </row>
    <row r="68" spans="3:29" ht="12.75">
      <c r="C68" s="34">
        <f>B68*AD68</f>
        <v>0</v>
      </c>
      <c r="E68" s="34">
        <f>D68*AD68</f>
        <v>0</v>
      </c>
      <c r="G68" s="34">
        <f>F68*AD68</f>
        <v>0</v>
      </c>
      <c r="I68" s="34">
        <f>H68*AD68</f>
        <v>0</v>
      </c>
      <c r="K68" s="34">
        <f>J68*AD68</f>
        <v>0</v>
      </c>
      <c r="M68" s="34">
        <f>L68*AD68</f>
        <v>0</v>
      </c>
      <c r="AC68" s="34">
        <f>B68+D68+F68+H68+J68+L68+N68</f>
        <v>0</v>
      </c>
    </row>
    <row r="69" spans="3:29" ht="12.75">
      <c r="C69" s="34">
        <f>B69*AD69</f>
        <v>0</v>
      </c>
      <c r="E69" s="34">
        <f>D69*AD69</f>
        <v>0</v>
      </c>
      <c r="G69" s="34">
        <f>F69*AD69</f>
        <v>0</v>
      </c>
      <c r="I69" s="34">
        <f>H69*AD69</f>
        <v>0</v>
      </c>
      <c r="K69" s="34">
        <f>J69*AD69</f>
        <v>0</v>
      </c>
      <c r="M69" s="34">
        <f>L69*AD69</f>
        <v>0</v>
      </c>
      <c r="AC69" s="34">
        <f>B69+D69+F69+H69+J69+L69+N69</f>
        <v>0</v>
      </c>
    </row>
    <row r="70" spans="3:29" ht="12.75">
      <c r="C70" s="34">
        <f>B70*AD70</f>
        <v>0</v>
      </c>
      <c r="E70" s="34">
        <f>D70*AD70</f>
        <v>0</v>
      </c>
      <c r="G70" s="34">
        <f>F70*AD70</f>
        <v>0</v>
      </c>
      <c r="I70" s="34">
        <f>H70*AD70</f>
        <v>0</v>
      </c>
      <c r="K70" s="34">
        <f>J70*AD70</f>
        <v>0</v>
      </c>
      <c r="M70" s="34">
        <f>L70*AD70</f>
        <v>0</v>
      </c>
      <c r="AC70" s="34">
        <f>B70+D70+F70+H70+J70+L70+N70</f>
        <v>0</v>
      </c>
    </row>
    <row r="71" spans="3:29" ht="12.75">
      <c r="C71" s="34">
        <f>B71*AD71</f>
        <v>0</v>
      </c>
      <c r="E71" s="34">
        <f>D71*AD71</f>
        <v>0</v>
      </c>
      <c r="G71" s="34">
        <f>F71*AD71</f>
        <v>0</v>
      </c>
      <c r="I71" s="34">
        <f>H71*AD71</f>
        <v>0</v>
      </c>
      <c r="K71" s="34">
        <f>J71*AD71</f>
        <v>0</v>
      </c>
      <c r="M71" s="34">
        <f>L71*AD71</f>
        <v>0</v>
      </c>
      <c r="AC71" s="34">
        <f>B71+D71+F71+H71+J71+L71+N71</f>
        <v>0</v>
      </c>
    </row>
    <row r="72" spans="3:29" ht="12.75">
      <c r="C72" s="34">
        <f>B72*AD72</f>
        <v>0</v>
      </c>
      <c r="E72" s="34">
        <f>D72*AD72</f>
        <v>0</v>
      </c>
      <c r="G72" s="34">
        <f>F72*AD72</f>
        <v>0</v>
      </c>
      <c r="I72" s="34">
        <f>H72*AD72</f>
        <v>0</v>
      </c>
      <c r="K72" s="34">
        <f>J72*AD72</f>
        <v>0</v>
      </c>
      <c r="M72" s="34">
        <f>L72*AD72</f>
        <v>0</v>
      </c>
      <c r="AC72" s="34">
        <f>B72+D72+F72+H72+J72+L72+N72</f>
        <v>0</v>
      </c>
    </row>
    <row r="73" spans="3:29" ht="12.75">
      <c r="C73" s="34">
        <f>B73*AD73</f>
        <v>0</v>
      </c>
      <c r="E73" s="34">
        <f>D73*AD73</f>
        <v>0</v>
      </c>
      <c r="G73" s="34">
        <f>F73*AD73</f>
        <v>0</v>
      </c>
      <c r="I73" s="34">
        <f>H73*AD73</f>
        <v>0</v>
      </c>
      <c r="M73" s="34">
        <f>L73*AD73</f>
        <v>0</v>
      </c>
      <c r="AC73" s="34">
        <f>B73+D73+F73+H73+J73+L73+N73</f>
        <v>0</v>
      </c>
    </row>
    <row r="74" spans="3:29" ht="12.75">
      <c r="C74" s="34">
        <f>B74*AD74</f>
        <v>0</v>
      </c>
      <c r="E74" s="34">
        <f>D74*AD74</f>
        <v>0</v>
      </c>
      <c r="G74" s="34">
        <f>F74*AD74</f>
        <v>0</v>
      </c>
      <c r="I74" s="34">
        <f>H74*AD74</f>
        <v>0</v>
      </c>
      <c r="M74" s="34">
        <f>L74*AD74</f>
        <v>0</v>
      </c>
      <c r="AC74" s="34">
        <f>B74+D74+F74+H74+J74+L74+N74</f>
        <v>0</v>
      </c>
    </row>
    <row r="75" spans="3:29" ht="12.75">
      <c r="C75" s="34">
        <f>B75*AD75</f>
        <v>0</v>
      </c>
      <c r="E75" s="34">
        <f>D75*AD75</f>
        <v>0</v>
      </c>
      <c r="G75" s="34">
        <f>F75*AD75</f>
        <v>0</v>
      </c>
      <c r="I75" s="34">
        <f>H75*AD75</f>
        <v>0</v>
      </c>
      <c r="M75" s="34">
        <f>L75*AD75</f>
        <v>0</v>
      </c>
      <c r="AC75" s="34">
        <f>B75+D75+F75+H75+J75+L75+N75</f>
        <v>0</v>
      </c>
    </row>
    <row r="76" spans="3:29" ht="12.75">
      <c r="C76" s="34">
        <f>B76*AD76</f>
        <v>0</v>
      </c>
      <c r="E76" s="34">
        <f>D76*AD76</f>
        <v>0</v>
      </c>
      <c r="G76" s="34">
        <f>F76*AD76</f>
        <v>0</v>
      </c>
      <c r="I76" s="34">
        <f>H76*AD76</f>
        <v>0</v>
      </c>
      <c r="M76" s="34">
        <f>L76*AD76</f>
        <v>0</v>
      </c>
      <c r="AC76" s="34">
        <f>B76+D76+F76+H76+J76+L76+N76</f>
        <v>0</v>
      </c>
    </row>
    <row r="77" spans="3:29" ht="12.75">
      <c r="C77" s="34">
        <f>B77*AD77</f>
        <v>0</v>
      </c>
      <c r="E77" s="34">
        <f>D77*AD77</f>
        <v>0</v>
      </c>
      <c r="G77" s="34">
        <f>F77*AD77</f>
        <v>0</v>
      </c>
      <c r="I77" s="34">
        <f>H77*AD77</f>
        <v>0</v>
      </c>
      <c r="M77" s="34">
        <f>L77*AD77</f>
        <v>0</v>
      </c>
      <c r="AC77" s="34">
        <f>B77+D77+F77+H77+J77+L77+N77</f>
        <v>0</v>
      </c>
    </row>
    <row r="78" spans="3:29" ht="12.75">
      <c r="C78" s="34">
        <f>B78*AD78</f>
        <v>0</v>
      </c>
      <c r="E78" s="34">
        <f>D78*AD78</f>
        <v>0</v>
      </c>
      <c r="G78" s="34">
        <f>F78*AD78</f>
        <v>0</v>
      </c>
      <c r="I78" s="34">
        <f>H78*AD78</f>
        <v>0</v>
      </c>
      <c r="AC78" s="34">
        <f>B78+D78+F78+H78+J78+L78+N78</f>
        <v>0</v>
      </c>
    </row>
    <row r="79" spans="3:29" ht="12.75">
      <c r="C79" s="34">
        <f>B79*AD79</f>
        <v>0</v>
      </c>
      <c r="E79" s="34">
        <f>D79*AD79</f>
        <v>0</v>
      </c>
      <c r="G79" s="34">
        <f>F79*AD79</f>
        <v>0</v>
      </c>
      <c r="I79" s="34">
        <f>H79*AD79</f>
        <v>0</v>
      </c>
      <c r="AC79" s="34">
        <f>B79+D79+F79+H79+J79+L79+N79</f>
        <v>0</v>
      </c>
    </row>
    <row r="80" spans="3:29" ht="12.75">
      <c r="C80" s="34">
        <f>B80*AD80</f>
        <v>0</v>
      </c>
      <c r="E80" s="34">
        <f>D80*AD80</f>
        <v>0</v>
      </c>
      <c r="G80" s="34">
        <f>F80*AD80</f>
        <v>0</v>
      </c>
      <c r="I80" s="34">
        <f>H80*AD80</f>
        <v>0</v>
      </c>
      <c r="AC80" s="34">
        <f>B80+D80+F80+H80+J80+L80+N80</f>
        <v>0</v>
      </c>
    </row>
    <row r="81" spans="3:29" ht="12.75">
      <c r="C81" s="34">
        <f>B81*AD81</f>
        <v>0</v>
      </c>
      <c r="E81" s="34">
        <f>D81*AD81</f>
        <v>0</v>
      </c>
      <c r="G81" s="34">
        <f>F81*AD81</f>
        <v>0</v>
      </c>
      <c r="I81" s="34">
        <f>H81*AD81</f>
        <v>0</v>
      </c>
      <c r="AC81" s="34">
        <f>B81+D81+F81+H81+J81+L81+N81</f>
        <v>0</v>
      </c>
    </row>
    <row r="82" spans="3:29" ht="12.75">
      <c r="C82" s="34">
        <f>B82*AD82</f>
        <v>0</v>
      </c>
      <c r="E82" s="34">
        <f>D82*AD82</f>
        <v>0</v>
      </c>
      <c r="G82" s="34">
        <f>F82*AD82</f>
        <v>0</v>
      </c>
      <c r="I82" s="34">
        <f>H82*AD82</f>
        <v>0</v>
      </c>
      <c r="AC82" s="34">
        <f>B82+D82+F82+H82+J82+L82+N82</f>
        <v>0</v>
      </c>
    </row>
    <row r="83" spans="3:29" ht="12.75">
      <c r="C83" s="34">
        <f>B83*AD83</f>
        <v>0</v>
      </c>
      <c r="E83" s="34">
        <f>D83*AD83</f>
        <v>0</v>
      </c>
      <c r="AC83" s="34">
        <f>B83+D83+F83+H83+J83+L83+N83</f>
        <v>0</v>
      </c>
    </row>
    <row r="84" spans="3:29" ht="12.75">
      <c r="C84" s="34">
        <f>B84*AD84</f>
        <v>0</v>
      </c>
      <c r="E84" s="34">
        <f>D84*AD84</f>
        <v>0</v>
      </c>
      <c r="AC84" s="34">
        <f>B84+D84+F84+H84+J84+L84+N84</f>
        <v>0</v>
      </c>
    </row>
    <row r="85" spans="3:29" ht="12.75">
      <c r="C85" s="34">
        <f>B85*AD85</f>
        <v>0</v>
      </c>
      <c r="E85" s="34">
        <f>D85*AD85</f>
        <v>0</v>
      </c>
      <c r="AC85" s="34">
        <f>B85+D85+F85+H85+J85+L85+N85</f>
        <v>0</v>
      </c>
    </row>
    <row r="86" spans="3:29" ht="12.75">
      <c r="C86" s="34">
        <f>B86*AD86</f>
        <v>0</v>
      </c>
      <c r="E86" s="34">
        <f>D86*AD86</f>
        <v>0</v>
      </c>
      <c r="AC86" s="34">
        <f>B86+D86+F86+H86+J86+L86+N86</f>
        <v>0</v>
      </c>
    </row>
    <row r="87" spans="3:29" ht="12.75">
      <c r="C87" s="34">
        <f>B87*AD87</f>
        <v>0</v>
      </c>
      <c r="E87" s="34">
        <f>D87*AD87</f>
        <v>0</v>
      </c>
      <c r="AC87" s="34">
        <f>B87+D87+F87+H87+J87+L87+N87</f>
        <v>0</v>
      </c>
    </row>
    <row r="88" spans="3:29" ht="12.75">
      <c r="C88" s="34">
        <f>B88*AD88</f>
        <v>0</v>
      </c>
      <c r="E88" s="34">
        <f>D88*AD88</f>
        <v>0</v>
      </c>
      <c r="AC88" s="34">
        <f>B88+D88+F88+H88+J88+L88+N88</f>
        <v>0</v>
      </c>
    </row>
    <row r="89" spans="3:29" ht="12.75">
      <c r="C89" s="34">
        <f>B89*AD89</f>
        <v>0</v>
      </c>
      <c r="E89" s="34">
        <f>D89*AD89</f>
        <v>0</v>
      </c>
      <c r="AC89" s="34">
        <f>B89+D89+F89+H89+J89+L89+N89</f>
        <v>0</v>
      </c>
    </row>
    <row r="90" spans="3:29" ht="12.75">
      <c r="C90" s="34">
        <f>B90*AD90</f>
        <v>0</v>
      </c>
      <c r="E90" s="34">
        <f>D90*AD90</f>
        <v>0</v>
      </c>
      <c r="AC90" s="34">
        <f>B90+D90+F90+H90+J90+L90+N90</f>
        <v>0</v>
      </c>
    </row>
    <row r="91" spans="3:29" ht="12.75">
      <c r="C91" s="34">
        <f>B91*AD91</f>
        <v>0</v>
      </c>
      <c r="E91" s="34">
        <f>D91*AD91</f>
        <v>0</v>
      </c>
      <c r="AC91" s="34">
        <f>B91+D91+F91+H91+J91+L91+N91</f>
        <v>0</v>
      </c>
    </row>
    <row r="92" spans="3:29" ht="12.75">
      <c r="C92" s="34">
        <f>B92*AD92</f>
        <v>0</v>
      </c>
      <c r="E92" s="34">
        <f>D92*AD92</f>
        <v>0</v>
      </c>
      <c r="AC92" s="34">
        <f>B92+D92+F92+H92+J92+L92+N92</f>
        <v>0</v>
      </c>
    </row>
    <row r="93" spans="3:29" ht="12.75">
      <c r="C93" s="34">
        <f>B93*AD93</f>
        <v>0</v>
      </c>
      <c r="E93" s="34">
        <f>D93*AD93</f>
        <v>0</v>
      </c>
      <c r="AC93" s="34">
        <f>B93+D93+F93+H93+J93+L93+N93</f>
        <v>0</v>
      </c>
    </row>
    <row r="94" spans="3:29" ht="12.75">
      <c r="C94" s="34">
        <f>B94*AD94</f>
        <v>0</v>
      </c>
      <c r="E94" s="34">
        <f>D94*AD94</f>
        <v>0</v>
      </c>
      <c r="AC94" s="34">
        <f>B94+D94+F94+H94+J94+L94+N94</f>
        <v>0</v>
      </c>
    </row>
    <row r="95" spans="3:29" ht="12.75">
      <c r="C95" s="34">
        <f>B95*AD95</f>
        <v>0</v>
      </c>
      <c r="E95" s="34">
        <f>D95*AD95</f>
        <v>0</v>
      </c>
      <c r="AC95" s="34">
        <f>B95+D95+F95+H95+J95+L95+N95</f>
        <v>0</v>
      </c>
    </row>
    <row r="96" spans="3:29" ht="12.75">
      <c r="C96" s="34">
        <f>B96*AD96</f>
        <v>0</v>
      </c>
      <c r="E96" s="34">
        <f>D96*AD96</f>
        <v>0</v>
      </c>
      <c r="AC96" s="34">
        <f>B96+D96+F96+H96+J96+L96+N96</f>
        <v>0</v>
      </c>
    </row>
    <row r="97" spans="3:29" ht="12.75">
      <c r="C97" s="34">
        <f>B97*AD97</f>
        <v>0</v>
      </c>
      <c r="AC97" s="34">
        <f>B97+D97+F97+H97+J97+L97+N97</f>
        <v>0</v>
      </c>
    </row>
    <row r="98" spans="3:29" ht="12.75">
      <c r="C98" s="34">
        <f>B98*AD98</f>
        <v>0</v>
      </c>
      <c r="AC98" s="34">
        <f>B98+D98+F98+H98+J98+L98+N98</f>
        <v>0</v>
      </c>
    </row>
    <row r="99" spans="3:29" ht="12.75">
      <c r="C99" s="34">
        <f>B99*AD99</f>
        <v>0</v>
      </c>
      <c r="AC99" s="34">
        <f>B99+D99+F99+H99+J99+L99+N99</f>
        <v>0</v>
      </c>
    </row>
    <row r="100" spans="3:29" ht="12.75">
      <c r="C100" s="34">
        <f>B100*AD100</f>
        <v>0</v>
      </c>
      <c r="AC100" s="34">
        <f>B100+D100+F100+H100+J100+L100+N100</f>
        <v>0</v>
      </c>
    </row>
    <row r="101" spans="3:29" ht="12.75">
      <c r="C101" s="34">
        <f>B101*AD101</f>
        <v>0</v>
      </c>
      <c r="AC101" s="34">
        <f>B101+D101+F101+H101+J101+L101+N101</f>
        <v>0</v>
      </c>
    </row>
    <row r="102" spans="3:29" ht="12.75">
      <c r="C102" s="34">
        <f>B102*AD102</f>
        <v>0</v>
      </c>
      <c r="AC102" s="34">
        <f>B102+D102+F102+H102+J102+L102+N102</f>
        <v>0</v>
      </c>
    </row>
    <row r="103" spans="3:29" ht="12.75">
      <c r="C103" s="34">
        <f>B103*AD103</f>
        <v>0</v>
      </c>
      <c r="AC103" s="34">
        <f>B103+D103+F103+H103+J103+L103+N103</f>
        <v>0</v>
      </c>
    </row>
    <row r="104" spans="3:29" ht="12.75">
      <c r="C104" s="34">
        <f>B104*AD104</f>
        <v>0</v>
      </c>
      <c r="AC104" s="34">
        <f>B104+D104+F104+H104+J104+L104+N104</f>
        <v>0</v>
      </c>
    </row>
    <row r="105" spans="3:29" ht="12.75">
      <c r="C105" s="34">
        <f>B105*AD105</f>
        <v>0</v>
      </c>
      <c r="AC105" s="34">
        <f>B105+D105+F105+H105+J105+L105+N105</f>
        <v>0</v>
      </c>
    </row>
    <row r="106" spans="3:29" ht="12.75">
      <c r="C106" s="34">
        <f>B106*AD106</f>
        <v>0</v>
      </c>
      <c r="AC106" s="34">
        <f>B106+D106+F106+H106+J106+L106+N106</f>
        <v>0</v>
      </c>
    </row>
    <row r="107" spans="3:29" ht="12.75">
      <c r="C107" s="34">
        <f>B107*AD107</f>
        <v>0</v>
      </c>
      <c r="AC107" s="34">
        <f>B107+D107+F107+H107+J107+L107+N107</f>
        <v>0</v>
      </c>
    </row>
    <row r="108" spans="3:29" ht="12.75">
      <c r="C108" s="34">
        <f>B108*AD108</f>
        <v>0</v>
      </c>
      <c r="AC108" s="34">
        <f>B108+D108+F108+H108+J108+L108+N108</f>
        <v>0</v>
      </c>
    </row>
    <row r="109" spans="3:29" ht="12.75">
      <c r="C109" s="34">
        <f>B109*AD109</f>
        <v>0</v>
      </c>
      <c r="AC109" s="34">
        <f>B109+D109+F109+H109+J109+L109+N109</f>
        <v>0</v>
      </c>
    </row>
    <row r="110" spans="3:29" ht="12.75">
      <c r="C110" s="34">
        <f>B110*AD110</f>
        <v>0</v>
      </c>
      <c r="AC110" s="34">
        <f>B110+D110+F110+H110+J110+L110+N110</f>
        <v>0</v>
      </c>
    </row>
    <row r="111" spans="3:29" ht="12.75">
      <c r="C111" s="34">
        <f>B111*AD111</f>
        <v>0</v>
      </c>
      <c r="AC111" s="34">
        <f>B111+D111+F111+H111+J111+L111+N111</f>
        <v>0</v>
      </c>
    </row>
    <row r="112" spans="3:29" ht="12.75">
      <c r="C112" s="34">
        <f>B112*AD112</f>
        <v>0</v>
      </c>
      <c r="AC112" s="34">
        <f>B112+D112+F112+H112+J112+L112+N112</f>
        <v>0</v>
      </c>
    </row>
    <row r="113" spans="3:29" ht="12.75">
      <c r="C113" s="34">
        <f>B113*AD113</f>
        <v>0</v>
      </c>
      <c r="AC113" s="34">
        <f>B113+D113+F113+H113+J113+L113+N113</f>
        <v>0</v>
      </c>
    </row>
    <row r="114" spans="3:29" ht="12.75">
      <c r="C114" s="34">
        <f>B114*AD114</f>
        <v>0</v>
      </c>
      <c r="AC114" s="34">
        <f>B114+D114+F114+H114+J114+L114+N114</f>
        <v>0</v>
      </c>
    </row>
    <row r="115" spans="3:29" ht="12.75">
      <c r="C115" s="34">
        <f>B115*AD115</f>
        <v>0</v>
      </c>
      <c r="AC115" s="34">
        <f>B115+D115+F115+H115+J115+L115+N115</f>
        <v>0</v>
      </c>
    </row>
    <row r="116" spans="3:29" ht="12.75">
      <c r="C116" s="34">
        <f>B116*AD116</f>
        <v>0</v>
      </c>
      <c r="AC116" s="34">
        <f>B116+D116+F116+H116+J116+L116+N116</f>
        <v>0</v>
      </c>
    </row>
    <row r="117" spans="3:29" ht="12.75">
      <c r="C117" s="34">
        <f>B117*AD117</f>
        <v>0</v>
      </c>
      <c r="AC117" s="34">
        <f>B117+D117+F117+H117+J117+L117+N117</f>
        <v>0</v>
      </c>
    </row>
    <row r="118" spans="3:29" ht="12.75">
      <c r="C118" s="34">
        <f>B118*AD118</f>
        <v>0</v>
      </c>
      <c r="AC118" s="34">
        <f>B118+D118+F118+H118+J118+L118+N118</f>
        <v>0</v>
      </c>
    </row>
    <row r="119" spans="3:29" ht="12.75">
      <c r="C119" s="34">
        <f>B119*AD119</f>
        <v>0</v>
      </c>
      <c r="AC119" s="34">
        <f>B119+D119+F119+H119+J119+L119+N119</f>
        <v>0</v>
      </c>
    </row>
    <row r="120" spans="3:29" ht="12.75">
      <c r="C120" s="34">
        <f>B120*AD120</f>
        <v>0</v>
      </c>
      <c r="AC120" s="34">
        <f>B120+D120+F120+H120+J120+L120+N120</f>
        <v>0</v>
      </c>
    </row>
    <row r="121" spans="3:29" ht="12.75">
      <c r="C121" s="34">
        <f>B121*AD121</f>
        <v>0</v>
      </c>
      <c r="AC121" s="34">
        <f>B121+D121+F121+H121+J121+L121+N121</f>
        <v>0</v>
      </c>
    </row>
    <row r="122" spans="3:29" ht="12.75">
      <c r="C122" s="34">
        <f>B122*AD122</f>
        <v>0</v>
      </c>
      <c r="AC122" s="34">
        <f>B122+D122+F122+H122+J122+L122+N122</f>
        <v>0</v>
      </c>
    </row>
    <row r="123" spans="3:29" ht="12.75">
      <c r="C123" s="34">
        <f>B123*AD123</f>
        <v>0</v>
      </c>
      <c r="AC123" s="34">
        <f>B123+D123+F123+H123+J123+L123+N123</f>
        <v>0</v>
      </c>
    </row>
    <row r="124" spans="3:29" ht="12.75">
      <c r="C124" s="34">
        <f>B124*AD124</f>
        <v>0</v>
      </c>
      <c r="AC124" s="34">
        <f>B124+D124+F124+H124+J124+L124+N124</f>
        <v>0</v>
      </c>
    </row>
    <row r="125" spans="3:29" ht="12.75">
      <c r="C125" s="34">
        <f>B125*AD125</f>
        <v>0</v>
      </c>
      <c r="AC125" s="34">
        <f>B125+D125+F125+H125+J125+L125+N125</f>
        <v>0</v>
      </c>
    </row>
    <row r="126" spans="3:29" ht="12.75">
      <c r="C126" s="34">
        <f>B126*AD126</f>
        <v>0</v>
      </c>
      <c r="AC126" s="34">
        <f>B126+D126+F126+H126+J126+L126+N126</f>
        <v>0</v>
      </c>
    </row>
    <row r="127" spans="3:29" ht="12.75">
      <c r="C127" s="34">
        <f>B127*AD127</f>
        <v>0</v>
      </c>
      <c r="AC127" s="34">
        <f>B127+D127+F127+H127+J127+L127+N127</f>
        <v>0</v>
      </c>
    </row>
    <row r="128" spans="3:29" ht="12.75">
      <c r="C128" s="34">
        <f>B128*AD128</f>
        <v>0</v>
      </c>
      <c r="AC128" s="34">
        <f>B128+D128+F128+H128+J128+L128+N128</f>
        <v>0</v>
      </c>
    </row>
    <row r="129" spans="3:29" ht="12.75">
      <c r="C129" s="34">
        <f>B129*AD129</f>
        <v>0</v>
      </c>
      <c r="AC129" s="34">
        <f>B129+D129+F129+H129+J129+L129+N129</f>
        <v>0</v>
      </c>
    </row>
    <row r="130" spans="3:29" ht="12.75">
      <c r="C130" s="34">
        <f>B130*AD130</f>
        <v>0</v>
      </c>
      <c r="AC130" s="34">
        <f>B130+D130+F130+H130+J130+L130+N130</f>
        <v>0</v>
      </c>
    </row>
    <row r="131" spans="3:29" ht="12.75">
      <c r="C131" s="34">
        <f>B131*AD131</f>
        <v>0</v>
      </c>
      <c r="AC131" s="34">
        <f>B131+D131+F131+H131+J131+L131+N131</f>
        <v>0</v>
      </c>
    </row>
    <row r="132" spans="3:29" ht="12.75">
      <c r="C132" s="34">
        <f>B132*AD132</f>
        <v>0</v>
      </c>
      <c r="AC132" s="34">
        <f>B132+D132+F132+H132+J132+L132+N132</f>
        <v>0</v>
      </c>
    </row>
    <row r="133" ht="12.75">
      <c r="AC133" s="34">
        <f>B133+D133+F133+H133+J133+L133+N133</f>
        <v>0</v>
      </c>
    </row>
    <row r="134" ht="12.75">
      <c r="AC134" s="34">
        <f>B134+D134+F134+H134+J134+L134+N134</f>
        <v>0</v>
      </c>
    </row>
    <row r="135" ht="12.75">
      <c r="AC135" s="34">
        <f>B135+D135+F135+H135+J135+L135+N135</f>
        <v>0</v>
      </c>
    </row>
  </sheetData>
  <sheetProtection selectLockedCells="1" selectUnlockedCells="1"/>
  <printOptions/>
  <pageMargins left="0" right="0" top="0.1388888888888889" bottom="0.1388888888888889" header="0" footer="0"/>
  <pageSetup horizontalDpi="300" verticalDpi="300" orientation="portrait" paperSize="9"/>
  <headerFooter alignWithMargins="0">
    <oddHeader>&amp;C&amp;10&amp;A</oddHeader>
    <oddFooter>&amp;C&amp;10Page &amp;P</oddFooter>
  </headerFooter>
  <legacyDrawing r:id="rId2"/>
</worksheet>
</file>

<file path=xl/worksheets/sheet4.xml><?xml version="1.0" encoding="utf-8"?>
<worksheet xmlns="http://schemas.openxmlformats.org/spreadsheetml/2006/main" xmlns:r="http://schemas.openxmlformats.org/officeDocument/2006/relationships">
  <dimension ref="A1:BC135"/>
  <sheetViews>
    <sheetView zoomScale="95" zoomScaleNormal="95" workbookViewId="0" topLeftCell="AC1">
      <selection activeCell="AM23" sqref="AM23"/>
    </sheetView>
  </sheetViews>
  <sheetFormatPr defaultColWidth="11.00390625" defaultRowHeight="14.25"/>
  <cols>
    <col min="1" max="1" width="13.125" style="34" customWidth="1"/>
    <col min="2" max="2" width="9.00390625" style="34" customWidth="1"/>
    <col min="3" max="3" width="11.25390625" style="34" customWidth="1"/>
    <col min="4" max="4" width="13.125" style="34" customWidth="1"/>
    <col min="5" max="5" width="9.875" style="34" customWidth="1"/>
    <col min="6" max="6" width="11.00390625" style="34" customWidth="1"/>
    <col min="7" max="8" width="8.125" style="34" customWidth="1"/>
    <col min="9" max="9" width="10.125" style="34" customWidth="1"/>
    <col min="10" max="10" width="9.125" style="34" customWidth="1"/>
    <col min="11" max="11" width="11.00390625" style="34" customWidth="1"/>
    <col min="12" max="12" width="12.25390625" style="34" customWidth="1"/>
    <col min="13" max="13" width="12.875" style="34" customWidth="1"/>
    <col min="14" max="18" width="7.75390625" style="34" customWidth="1"/>
    <col min="19" max="19" width="15.25390625" style="34" customWidth="1"/>
    <col min="20" max="20" width="5.00390625" style="34" customWidth="1"/>
    <col min="21" max="21" width="10.625" style="34" customWidth="1"/>
    <col min="22" max="22" width="6.875" style="34" customWidth="1"/>
    <col min="23" max="23" width="3.25390625" style="34" customWidth="1"/>
    <col min="24" max="24" width="8.375" style="34" customWidth="1"/>
    <col min="25" max="26" width="6.50390625" style="34" customWidth="1"/>
    <col min="27" max="27" width="7.00390625" style="34" customWidth="1"/>
    <col min="28" max="28" width="29.875" style="34" customWidth="1"/>
    <col min="29" max="29" width="15.25390625" style="34" customWidth="1"/>
    <col min="30" max="30" width="8.125" style="34" customWidth="1"/>
    <col min="31" max="31" width="9.00390625" style="40" customWidth="1"/>
    <col min="32" max="32" width="1.4921875" style="34" customWidth="1"/>
    <col min="33" max="33" width="2.75390625" style="34" customWidth="1"/>
    <col min="34" max="34" width="1.875" style="34" customWidth="1"/>
    <col min="35" max="35" width="16.50390625" style="34" customWidth="1"/>
    <col min="36" max="36" width="8.25390625" style="34" customWidth="1"/>
    <col min="37" max="37" width="1.4921875" style="34" customWidth="1"/>
    <col min="38" max="38" width="16.875" style="34" customWidth="1"/>
    <col min="39" max="39" width="14.25390625" style="34" customWidth="1"/>
    <col min="40" max="40" width="2.00390625" style="34" customWidth="1"/>
    <col min="41" max="41" width="22.125" style="34" customWidth="1"/>
    <col min="42" max="42" width="10.625" style="34" customWidth="1"/>
    <col min="43" max="43" width="2.375" style="34" customWidth="1"/>
    <col min="44" max="44" width="15.125" style="34" customWidth="1"/>
    <col min="45" max="45" width="10.625" style="34" customWidth="1"/>
    <col min="46" max="46" width="2.625" style="34" customWidth="1"/>
    <col min="47" max="47" width="14.625" style="34" customWidth="1"/>
    <col min="48" max="48" width="7.375" style="34" customWidth="1"/>
    <col min="49" max="49" width="10.625" style="34" customWidth="1"/>
    <col min="50" max="50" width="11.875" style="34" customWidth="1"/>
    <col min="51" max="51" width="13.875" style="34" customWidth="1"/>
    <col min="52" max="53" width="10.625" style="34" customWidth="1"/>
    <col min="54" max="54" width="13.50390625" style="34" customWidth="1"/>
    <col min="55" max="16384" width="10.625" style="34" customWidth="1"/>
  </cols>
  <sheetData>
    <row r="1" spans="1:33" ht="14.25">
      <c r="A1" s="59" t="s">
        <v>119</v>
      </c>
      <c r="B1" s="34" t="s">
        <v>120</v>
      </c>
      <c r="C1" s="34" t="s">
        <v>121</v>
      </c>
      <c r="D1" s="34" t="s">
        <v>122</v>
      </c>
      <c r="E1" s="34" t="s">
        <v>123</v>
      </c>
      <c r="F1" s="34" t="s">
        <v>124</v>
      </c>
      <c r="G1" s="34" t="s">
        <v>125</v>
      </c>
      <c r="H1" s="34" t="s">
        <v>126</v>
      </c>
      <c r="I1" s="34" t="s">
        <v>127</v>
      </c>
      <c r="J1" s="34" t="s">
        <v>128</v>
      </c>
      <c r="K1" s="34" t="s">
        <v>129</v>
      </c>
      <c r="L1" s="34" t="s">
        <v>130</v>
      </c>
      <c r="M1" s="34" t="s">
        <v>131</v>
      </c>
      <c r="N1" s="34" t="s">
        <v>63</v>
      </c>
      <c r="O1" s="34" t="s">
        <v>132</v>
      </c>
      <c r="P1" s="34" t="s">
        <v>62</v>
      </c>
      <c r="Q1" s="34" t="s">
        <v>133</v>
      </c>
      <c r="R1" s="34" t="s">
        <v>134</v>
      </c>
      <c r="S1" s="34" t="s">
        <v>135</v>
      </c>
      <c r="T1" s="34" t="s">
        <v>136</v>
      </c>
      <c r="U1" s="34" t="s">
        <v>137</v>
      </c>
      <c r="V1" s="34" t="s">
        <v>138</v>
      </c>
      <c r="W1" s="34" t="s">
        <v>139</v>
      </c>
      <c r="X1" s="34" t="s">
        <v>140</v>
      </c>
      <c r="Y1" s="34" t="s">
        <v>141</v>
      </c>
      <c r="Z1" s="34" t="s">
        <v>142</v>
      </c>
      <c r="AA1" s="34" t="s">
        <v>143</v>
      </c>
      <c r="AC1" s="34" t="s">
        <v>144</v>
      </c>
      <c r="AD1" s="34" t="s">
        <v>145</v>
      </c>
      <c r="AE1" s="60" t="s">
        <v>146</v>
      </c>
      <c r="AG1" s="34" t="s">
        <v>147</v>
      </c>
    </row>
    <row r="2" spans="1:55" ht="14.25">
      <c r="A2" s="61">
        <v>43497</v>
      </c>
      <c r="B2" s="4"/>
      <c r="C2" s="34">
        <f>B2*AD2</f>
        <v>0</v>
      </c>
      <c r="D2" s="4">
        <f>139000+20000+28000</f>
        <v>187000</v>
      </c>
      <c r="E2" s="34">
        <f>D2*AD2</f>
        <v>31.790000000000003</v>
      </c>
      <c r="F2" s="4">
        <f>30000+30000+55000</f>
        <v>115000</v>
      </c>
      <c r="G2" s="34">
        <f>F2*AD2</f>
        <v>19.55</v>
      </c>
      <c r="H2" s="4"/>
      <c r="I2" s="34">
        <f>H2*AD2</f>
        <v>0</v>
      </c>
      <c r="J2" s="4"/>
      <c r="K2" s="34">
        <f>J2*AD2</f>
        <v>0</v>
      </c>
      <c r="L2" s="4">
        <v>200000</v>
      </c>
      <c r="M2" s="34">
        <f>L2*AD2</f>
        <v>34</v>
      </c>
      <c r="O2" s="34">
        <f>N2*AD2</f>
        <v>0</v>
      </c>
      <c r="Q2" s="34">
        <f>P2*AD2</f>
        <v>0</v>
      </c>
      <c r="R2" s="4"/>
      <c r="S2" s="4"/>
      <c r="T2" s="4" t="s">
        <v>148</v>
      </c>
      <c r="U2" s="4"/>
      <c r="V2" s="4"/>
      <c r="W2" s="4"/>
      <c r="X2" s="4"/>
      <c r="Y2" s="4"/>
      <c r="Z2" s="4"/>
      <c r="AA2" s="4"/>
      <c r="AB2" s="4" t="s">
        <v>189</v>
      </c>
      <c r="AC2" s="34">
        <f>B2+D2+F2+H2+J2+L2+N2+P2</f>
        <v>502000</v>
      </c>
      <c r="AD2" s="62">
        <f>510/3000000</f>
        <v>0.00017</v>
      </c>
      <c r="AE2" s="62">
        <f>AC2*AD2</f>
        <v>85.34</v>
      </c>
      <c r="AG2" s="34">
        <v>26</v>
      </c>
      <c r="AI2" s="34" t="s">
        <v>150</v>
      </c>
      <c r="AJ2" s="60">
        <f>SUM($AE$2:$AE$994)</f>
        <v>4214.801920000001</v>
      </c>
      <c r="AL2" s="34" t="s">
        <v>151</v>
      </c>
      <c r="AM2" s="63">
        <f>$AJ$2/$AJ$5</f>
        <v>150.52864000000002</v>
      </c>
      <c r="AO2" s="34" t="s">
        <v>152</v>
      </c>
      <c r="AP2" s="34">
        <f>COUNTBLANK(L2:L40)-COUNTBLANK(A2:A40)</f>
        <v>1</v>
      </c>
      <c r="AQ2" s="64"/>
      <c r="AR2" s="64"/>
      <c r="AS2" s="64"/>
      <c r="AT2" s="64"/>
      <c r="AU2" s="64" t="s">
        <v>153</v>
      </c>
      <c r="AV2" s="64">
        <f>SUMIF($AG$2:$AG$44,"=17",$AE$2:$AE$44)</f>
        <v>0</v>
      </c>
      <c r="AW2" s="64"/>
      <c r="AX2" s="64" t="s">
        <v>154</v>
      </c>
      <c r="AY2" s="64">
        <f>SUMIF($AG$2:$AG$44,"=18",$AE$2:$AE$44)</f>
        <v>0</v>
      </c>
      <c r="AZ2" s="64"/>
      <c r="BB2" s="41"/>
      <c r="BC2" s="41"/>
    </row>
    <row r="3" spans="1:55" ht="14.25">
      <c r="A3" s="2">
        <v>43498</v>
      </c>
      <c r="B3" s="4"/>
      <c r="C3" s="34">
        <f>B3*AD3</f>
        <v>0</v>
      </c>
      <c r="D3" s="4">
        <f>51000+20000</f>
        <v>71000</v>
      </c>
      <c r="E3" s="34">
        <f>D3*AD3</f>
        <v>12.07</v>
      </c>
      <c r="F3" s="4">
        <v>58000</v>
      </c>
      <c r="G3" s="34">
        <f>F3*AD3</f>
        <v>9.860000000000001</v>
      </c>
      <c r="H3" s="4"/>
      <c r="I3" s="34">
        <f>H3*AD3</f>
        <v>0</v>
      </c>
      <c r="J3" s="4"/>
      <c r="K3" s="34">
        <f>J3*AD3</f>
        <v>0</v>
      </c>
      <c r="L3" s="4">
        <v>200000</v>
      </c>
      <c r="M3" s="34">
        <f>L3*AD3</f>
        <v>34</v>
      </c>
      <c r="O3" s="34">
        <f>N3*AD3</f>
        <v>0</v>
      </c>
      <c r="Q3" s="34">
        <f>P3*AD3</f>
        <v>0</v>
      </c>
      <c r="R3" s="4"/>
      <c r="S3" s="4"/>
      <c r="T3" s="4" t="s">
        <v>148</v>
      </c>
      <c r="U3" s="4"/>
      <c r="V3" s="4"/>
      <c r="W3" s="4"/>
      <c r="X3" s="4"/>
      <c r="Y3" s="4"/>
      <c r="Z3" s="4"/>
      <c r="AA3" s="4"/>
      <c r="AB3" s="4" t="s">
        <v>190</v>
      </c>
      <c r="AC3" s="34">
        <f>B3+D3+F3+H3+J3+L3+N3+P3</f>
        <v>329000</v>
      </c>
      <c r="AD3" s="62">
        <f>510/3000000</f>
        <v>0.00017</v>
      </c>
      <c r="AE3" s="62">
        <f>AC3*AD3</f>
        <v>55.93000000000001</v>
      </c>
      <c r="AG3" s="34">
        <v>26</v>
      </c>
      <c r="AI3" s="65"/>
      <c r="AL3" s="65"/>
      <c r="AM3" s="63"/>
      <c r="AO3" s="34" t="s">
        <v>156</v>
      </c>
      <c r="AP3" s="34">
        <f>COUNT(L2:L36)</f>
        <v>27</v>
      </c>
      <c r="AR3" s="64"/>
      <c r="AS3" s="64"/>
      <c r="AT3" s="64"/>
      <c r="AU3" s="64" t="s">
        <v>157</v>
      </c>
      <c r="AV3" s="64">
        <f>_xlfn.COUNTIFS($A$2:$A$44,"&lt;&gt;''",$AG$2:$AG$44,"=17")</f>
        <v>0</v>
      </c>
      <c r="AW3" s="64"/>
      <c r="AX3" s="64" t="s">
        <v>158</v>
      </c>
      <c r="AY3" s="64">
        <f>_xlfn.COUNTIFS($A$2:$A$44,"&lt;&gt;''",$AG$2:$AG$44,"=18")</f>
        <v>0</v>
      </c>
      <c r="AZ3" s="64"/>
      <c r="BB3" s="41"/>
      <c r="BC3" s="41"/>
    </row>
    <row r="4" spans="1:55" ht="14.25">
      <c r="A4" s="2">
        <v>43499</v>
      </c>
      <c r="B4" s="4"/>
      <c r="C4" s="34">
        <f>B4*AD4</f>
        <v>0</v>
      </c>
      <c r="D4" s="4">
        <f>80000+22000+10000</f>
        <v>112000</v>
      </c>
      <c r="E4" s="34">
        <f>D4*AD4</f>
        <v>19.040000000000003</v>
      </c>
      <c r="F4" s="4">
        <v>58000</v>
      </c>
      <c r="G4" s="34">
        <f>F4*AD4</f>
        <v>9.860000000000001</v>
      </c>
      <c r="H4" s="4"/>
      <c r="I4" s="34">
        <f>H4*AD4</f>
        <v>0</v>
      </c>
      <c r="J4" s="4"/>
      <c r="K4" s="34">
        <f>J4*AD4</f>
        <v>0</v>
      </c>
      <c r="L4" s="4">
        <v>200000</v>
      </c>
      <c r="M4" s="34">
        <f>L4*AD4</f>
        <v>34</v>
      </c>
      <c r="O4" s="34">
        <f>N4*AD4</f>
        <v>0</v>
      </c>
      <c r="Q4" s="34">
        <f>P4*AD4</f>
        <v>0</v>
      </c>
      <c r="R4" s="4"/>
      <c r="S4" s="4"/>
      <c r="T4" s="4" t="s">
        <v>148</v>
      </c>
      <c r="U4" s="4"/>
      <c r="V4" s="4"/>
      <c r="W4" s="4"/>
      <c r="X4" s="4"/>
      <c r="Y4" s="4"/>
      <c r="Z4" s="4"/>
      <c r="AA4" s="4"/>
      <c r="AB4" s="4" t="s">
        <v>190</v>
      </c>
      <c r="AC4" s="34">
        <f>B4+D4+F4+H4+J4+L4+N4+P4</f>
        <v>370000</v>
      </c>
      <c r="AD4" s="62">
        <f>510/3000000</f>
        <v>0.00017</v>
      </c>
      <c r="AE4" s="62">
        <f>AC4*AD4</f>
        <v>62.900000000000006</v>
      </c>
      <c r="AG4" s="34">
        <v>26</v>
      </c>
      <c r="AO4" s="34" t="s">
        <v>160</v>
      </c>
      <c r="AP4" s="34">
        <f>COUNTA(W2:W49)</f>
        <v>0</v>
      </c>
      <c r="AR4" s="64"/>
      <c r="AS4" s="64"/>
      <c r="AT4" s="64"/>
      <c r="AU4" s="64" t="s">
        <v>161</v>
      </c>
      <c r="AV4" s="64" t="e">
        <f>AV2/AV3</f>
        <v>#DIV/0!</v>
      </c>
      <c r="AW4" s="64"/>
      <c r="AX4" s="64" t="s">
        <v>162</v>
      </c>
      <c r="AY4" s="64" t="e">
        <f>AY2/AY3</f>
        <v>#DIV/0!</v>
      </c>
      <c r="AZ4" s="64"/>
      <c r="BB4" s="41"/>
      <c r="BC4" s="41"/>
    </row>
    <row r="5" spans="1:42" ht="14.25">
      <c r="A5" s="2">
        <v>43500</v>
      </c>
      <c r="B5" s="4"/>
      <c r="C5" s="34">
        <f>B5*AD5</f>
        <v>0</v>
      </c>
      <c r="D5" s="4">
        <f>45000</f>
        <v>45000</v>
      </c>
      <c r="E5" s="34">
        <f>D5*AD5</f>
        <v>7.65</v>
      </c>
      <c r="F5" s="4">
        <f>42000*2+90000</f>
        <v>174000</v>
      </c>
      <c r="G5" s="34">
        <f>F5*AD5</f>
        <v>29.580000000000002</v>
      </c>
      <c r="H5" s="4"/>
      <c r="I5" s="34">
        <f>H5*AD5</f>
        <v>0</v>
      </c>
      <c r="J5" s="4">
        <v>390000</v>
      </c>
      <c r="K5" s="34">
        <f>J5*AD5</f>
        <v>66.30000000000001</v>
      </c>
      <c r="L5" s="4">
        <v>200000</v>
      </c>
      <c r="M5" s="34">
        <f>L5*AD5</f>
        <v>34</v>
      </c>
      <c r="O5" s="34">
        <f>N5*AD5</f>
        <v>0</v>
      </c>
      <c r="Q5" s="34">
        <f>P5*AD5</f>
        <v>0</v>
      </c>
      <c r="R5" s="4"/>
      <c r="S5" s="4"/>
      <c r="T5" s="4" t="s">
        <v>148</v>
      </c>
      <c r="U5" s="4"/>
      <c r="V5" s="4"/>
      <c r="W5" s="4"/>
      <c r="X5" s="4"/>
      <c r="Y5" s="4"/>
      <c r="Z5" s="4"/>
      <c r="AA5" s="4"/>
      <c r="AB5" s="4" t="s">
        <v>190</v>
      </c>
      <c r="AC5" s="34">
        <f>B5+D5+F5+H5+J5+L5+N5+P5</f>
        <v>809000</v>
      </c>
      <c r="AD5" s="62">
        <f>510/3000000</f>
        <v>0.00017</v>
      </c>
      <c r="AE5" s="62">
        <f>AC5*AD5</f>
        <v>137.53</v>
      </c>
      <c r="AG5" s="34">
        <v>26</v>
      </c>
      <c r="AI5" s="34" t="s">
        <v>163</v>
      </c>
      <c r="AJ5" s="34">
        <f>COUNTA(A2:A349)</f>
        <v>28</v>
      </c>
      <c r="AO5" s="34" t="s">
        <v>164</v>
      </c>
      <c r="AP5" s="34">
        <f>COUNTA(R2:R49)</f>
        <v>0</v>
      </c>
    </row>
    <row r="6" spans="1:42" ht="14.25">
      <c r="A6" s="2">
        <v>43501</v>
      </c>
      <c r="B6" s="4">
        <f>130000*2</f>
        <v>260000</v>
      </c>
      <c r="C6" s="34">
        <f>B6*AD6</f>
        <v>44.2</v>
      </c>
      <c r="D6" s="4">
        <f>15000+25000</f>
        <v>40000</v>
      </c>
      <c r="E6" s="34">
        <f>D6*AD6</f>
        <v>6.800000000000001</v>
      </c>
      <c r="F6" s="4">
        <f>30000+85000</f>
        <v>115000</v>
      </c>
      <c r="G6" s="34">
        <f>F6*AD6</f>
        <v>19.55</v>
      </c>
      <c r="H6" s="4"/>
      <c r="I6" s="34">
        <f>H6*AD6</f>
        <v>0</v>
      </c>
      <c r="J6" s="4"/>
      <c r="K6" s="34">
        <f>J6*AD6</f>
        <v>0</v>
      </c>
      <c r="L6" s="4">
        <v>200000</v>
      </c>
      <c r="M6" s="34">
        <f>L6*AD6</f>
        <v>34</v>
      </c>
      <c r="O6" s="34">
        <f>N6*AD6</f>
        <v>0</v>
      </c>
      <c r="Q6" s="34">
        <f>P6*AD6</f>
        <v>0</v>
      </c>
      <c r="R6" s="4"/>
      <c r="S6" s="4"/>
      <c r="T6" s="4" t="s">
        <v>148</v>
      </c>
      <c r="U6" s="4"/>
      <c r="V6" s="4"/>
      <c r="W6" s="4"/>
      <c r="X6" s="4"/>
      <c r="Y6" s="4"/>
      <c r="Z6" s="4"/>
      <c r="AA6" s="4"/>
      <c r="AB6" s="4" t="s">
        <v>190</v>
      </c>
      <c r="AC6" s="34">
        <f>B6+D6+F6+H6+J6+L6+N6+P6</f>
        <v>615000</v>
      </c>
      <c r="AD6" s="62">
        <f>510/3000000</f>
        <v>0.00017</v>
      </c>
      <c r="AE6" s="62">
        <f>AC6*AD6</f>
        <v>104.55000000000001</v>
      </c>
      <c r="AG6" s="34">
        <v>26</v>
      </c>
      <c r="AI6" s="65"/>
      <c r="AO6" s="34" t="s">
        <v>165</v>
      </c>
      <c r="AP6" s="34">
        <f>COUNTA(T2:T49)</f>
        <v>27</v>
      </c>
    </row>
    <row r="7" spans="1:42" ht="14.25">
      <c r="A7" s="2">
        <v>43502</v>
      </c>
      <c r="B7" s="4"/>
      <c r="C7" s="34">
        <f>B7*AD7</f>
        <v>0</v>
      </c>
      <c r="D7" s="4">
        <f>82000</f>
        <v>82000</v>
      </c>
      <c r="E7" s="34">
        <f>D7*AD7</f>
        <v>13.940000000000001</v>
      </c>
      <c r="F7" s="4">
        <f>68000+90000</f>
        <v>158000</v>
      </c>
      <c r="G7" s="34">
        <f>F7*AD7</f>
        <v>26.860000000000003</v>
      </c>
      <c r="H7" s="4"/>
      <c r="I7" s="34">
        <f>H7*AD7</f>
        <v>0</v>
      </c>
      <c r="J7" s="4"/>
      <c r="K7" s="34">
        <f>J7*AD7</f>
        <v>0</v>
      </c>
      <c r="L7" s="4">
        <v>360000</v>
      </c>
      <c r="M7" s="34">
        <f>L7*AD7</f>
        <v>61.2</v>
      </c>
      <c r="O7" s="34">
        <f>N7*AD7</f>
        <v>0</v>
      </c>
      <c r="Q7" s="34">
        <f>P7*AD7</f>
        <v>0</v>
      </c>
      <c r="R7" s="4"/>
      <c r="S7" s="4"/>
      <c r="T7" s="4" t="s">
        <v>148</v>
      </c>
      <c r="U7" s="4"/>
      <c r="V7" s="4"/>
      <c r="W7" s="4"/>
      <c r="X7" s="4"/>
      <c r="Y7" s="4"/>
      <c r="Z7" s="4"/>
      <c r="AA7" s="4"/>
      <c r="AB7" s="4" t="s">
        <v>191</v>
      </c>
      <c r="AC7" s="34">
        <f>B7+D7+F7+H7+J7+L7+N7+P7</f>
        <v>600000</v>
      </c>
      <c r="AD7" s="62">
        <f>510/3000000</f>
        <v>0.00017</v>
      </c>
      <c r="AE7" s="62">
        <f>AC7*AD7</f>
        <v>102.00000000000001</v>
      </c>
      <c r="AG7" s="34">
        <v>26</v>
      </c>
      <c r="AL7" s="34" t="s">
        <v>166</v>
      </c>
      <c r="AO7" s="34" t="s">
        <v>137</v>
      </c>
      <c r="AP7" s="34">
        <f>COUNTA(U2:U49)</f>
        <v>0</v>
      </c>
    </row>
    <row r="8" spans="1:42" ht="14.25">
      <c r="A8" s="2">
        <v>43503</v>
      </c>
      <c r="B8" s="4"/>
      <c r="C8" s="34">
        <f>B8*AD8</f>
        <v>0</v>
      </c>
      <c r="D8" s="4">
        <v>32000</v>
      </c>
      <c r="E8" s="34">
        <f>D8*AD8</f>
        <v>5.44</v>
      </c>
      <c r="F8" s="4">
        <f>100000+60000+80000</f>
        <v>240000</v>
      </c>
      <c r="G8" s="34">
        <f>F8*AD8</f>
        <v>40.800000000000004</v>
      </c>
      <c r="H8" s="4"/>
      <c r="I8" s="34">
        <f>H8*AD8</f>
        <v>0</v>
      </c>
      <c r="J8" s="4"/>
      <c r="K8" s="34">
        <f>J8*AD8</f>
        <v>0</v>
      </c>
      <c r="L8" s="4">
        <v>360000</v>
      </c>
      <c r="M8" s="34">
        <f>L8*AD8</f>
        <v>61.2</v>
      </c>
      <c r="O8" s="34">
        <f>N8*AD8</f>
        <v>0</v>
      </c>
      <c r="Q8" s="34">
        <f>P8*AD8</f>
        <v>0</v>
      </c>
      <c r="R8" s="4"/>
      <c r="S8" s="4"/>
      <c r="T8" s="4" t="s">
        <v>148</v>
      </c>
      <c r="U8" s="4"/>
      <c r="V8" s="4"/>
      <c r="W8" s="4"/>
      <c r="X8" s="4"/>
      <c r="Y8" s="4"/>
      <c r="Z8" s="4"/>
      <c r="AA8" s="4"/>
      <c r="AB8" s="4" t="s">
        <v>192</v>
      </c>
      <c r="AC8" s="34">
        <f>B8+D8+F8+H8+J8+L8+N8+P8</f>
        <v>632000</v>
      </c>
      <c r="AD8" s="62">
        <f>510/3000000</f>
        <v>0.00017</v>
      </c>
      <c r="AE8" s="62">
        <f>AC8*AD8</f>
        <v>107.44000000000001</v>
      </c>
      <c r="AG8" s="34">
        <v>26</v>
      </c>
      <c r="AI8" s="34" t="s">
        <v>168</v>
      </c>
      <c r="AJ8" s="60">
        <f>SUM(M2:M994)</f>
        <v>1196.078666666667</v>
      </c>
      <c r="AL8" s="34" t="s">
        <v>130</v>
      </c>
      <c r="AM8" s="60">
        <f>AJ8/$AJ$5</f>
        <v>42.71709523809525</v>
      </c>
      <c r="AO8" s="34" t="s">
        <v>169</v>
      </c>
      <c r="AP8" s="34">
        <f>COUNTA(S2:S49)</f>
        <v>0</v>
      </c>
    </row>
    <row r="9" spans="1:42" ht="14.25">
      <c r="A9" s="2">
        <v>43504</v>
      </c>
      <c r="B9" s="4"/>
      <c r="C9" s="34">
        <f>B9*AD9</f>
        <v>0</v>
      </c>
      <c r="D9" s="4">
        <v>10000</v>
      </c>
      <c r="E9" s="34">
        <f>D9*AD9</f>
        <v>1.7000000000000002</v>
      </c>
      <c r="F9" s="4">
        <v>555000</v>
      </c>
      <c r="G9" s="34">
        <f>F9*AD9</f>
        <v>94.35000000000001</v>
      </c>
      <c r="H9" s="4"/>
      <c r="I9" s="34">
        <f>H9*AD9</f>
        <v>0</v>
      </c>
      <c r="J9" s="4"/>
      <c r="K9" s="34">
        <f>J9*AD9</f>
        <v>0</v>
      </c>
      <c r="L9" s="4">
        <v>400000</v>
      </c>
      <c r="M9" s="34">
        <f>L9*AD9</f>
        <v>68</v>
      </c>
      <c r="O9" s="34">
        <f>N9*AD9</f>
        <v>0</v>
      </c>
      <c r="Q9" s="34">
        <f>P9*AD9</f>
        <v>0</v>
      </c>
      <c r="R9" s="4"/>
      <c r="S9" s="4"/>
      <c r="T9" s="4" t="s">
        <v>148</v>
      </c>
      <c r="U9" s="4"/>
      <c r="V9" s="4"/>
      <c r="W9" s="4"/>
      <c r="X9" s="4"/>
      <c r="Y9" s="4"/>
      <c r="Z9" s="4"/>
      <c r="AA9" s="4"/>
      <c r="AB9" s="4" t="s">
        <v>192</v>
      </c>
      <c r="AC9" s="34">
        <f>B9+D9+F9+H9+J9+L9+N9+P9</f>
        <v>965000</v>
      </c>
      <c r="AD9" s="62">
        <f>510/3000000</f>
        <v>0.00017</v>
      </c>
      <c r="AE9" s="62">
        <f>AC9*AD9</f>
        <v>164.05</v>
      </c>
      <c r="AG9" s="34">
        <v>26</v>
      </c>
      <c r="AI9" s="34" t="s">
        <v>171</v>
      </c>
      <c r="AJ9" s="60">
        <f>SUM(C2:C994)</f>
        <v>295.0873933333333</v>
      </c>
      <c r="AL9" s="34" t="s">
        <v>120</v>
      </c>
      <c r="AM9" s="60">
        <f>AJ9/$AJ$5</f>
        <v>10.538835476190474</v>
      </c>
      <c r="AO9" s="34" t="s">
        <v>138</v>
      </c>
      <c r="AP9" s="34">
        <f>COUNTA(V2:V50)</f>
        <v>0</v>
      </c>
    </row>
    <row r="10" spans="1:42" ht="14.25">
      <c r="A10" s="2">
        <v>43505</v>
      </c>
      <c r="B10" s="4"/>
      <c r="C10" s="34">
        <f>B10*AD10</f>
        <v>0</v>
      </c>
      <c r="D10" s="4">
        <v>90000</v>
      </c>
      <c r="E10" s="34">
        <f>D10*AD10</f>
        <v>15.3</v>
      </c>
      <c r="F10" s="4">
        <f>30000*4+80000</f>
        <v>200000</v>
      </c>
      <c r="G10" s="34">
        <f>F10*AD10</f>
        <v>34</v>
      </c>
      <c r="H10" s="4"/>
      <c r="I10" s="34">
        <f>H10*AD10</f>
        <v>0</v>
      </c>
      <c r="J10" s="4"/>
      <c r="K10" s="34">
        <f>J10*AD10</f>
        <v>0</v>
      </c>
      <c r="L10" s="4">
        <v>580000</v>
      </c>
      <c r="M10" s="34">
        <f>L10*AD10</f>
        <v>98.60000000000001</v>
      </c>
      <c r="O10" s="34">
        <f>N10*AD10</f>
        <v>0</v>
      </c>
      <c r="Q10" s="34">
        <f>P10*AD10</f>
        <v>0</v>
      </c>
      <c r="R10" s="4"/>
      <c r="S10" s="4"/>
      <c r="T10" s="4" t="s">
        <v>148</v>
      </c>
      <c r="U10" s="4"/>
      <c r="V10" s="4"/>
      <c r="W10" s="4"/>
      <c r="X10" s="4"/>
      <c r="Y10" s="4"/>
      <c r="Z10" s="4"/>
      <c r="AA10" s="4"/>
      <c r="AB10" s="4" t="s">
        <v>192</v>
      </c>
      <c r="AC10" s="34">
        <f>B10+D10+F10+H10+J10+L10+N10+P10</f>
        <v>870000</v>
      </c>
      <c r="AD10" s="62">
        <f>510/3000000</f>
        <v>0.00017</v>
      </c>
      <c r="AE10" s="62">
        <f>AC10*AD10</f>
        <v>147.9</v>
      </c>
      <c r="AG10" s="34">
        <v>26</v>
      </c>
      <c r="AI10" s="34" t="s">
        <v>172</v>
      </c>
      <c r="AJ10" s="60">
        <f>SUM(E2:E994)</f>
        <v>434.7816266666667</v>
      </c>
      <c r="AL10" s="34" t="s">
        <v>58</v>
      </c>
      <c r="AM10" s="60">
        <f>AJ10/$AJ$5</f>
        <v>15.527915238095238</v>
      </c>
      <c r="AO10" s="34" t="s">
        <v>141</v>
      </c>
      <c r="AP10" s="34">
        <f>COUNTA(Y2:Y51)</f>
        <v>0</v>
      </c>
    </row>
    <row r="11" spans="1:42" ht="14.25">
      <c r="A11" s="2">
        <v>43506</v>
      </c>
      <c r="B11" s="4"/>
      <c r="C11" s="34">
        <f>B11*AD11</f>
        <v>0</v>
      </c>
      <c r="D11" s="4">
        <f>35000</f>
        <v>35000</v>
      </c>
      <c r="E11" s="34">
        <f>D11*AD11</f>
        <v>5.95</v>
      </c>
      <c r="F11" s="4">
        <v>555000</v>
      </c>
      <c r="G11" s="34">
        <f>F11*AD11</f>
        <v>94.35000000000001</v>
      </c>
      <c r="H11" s="4"/>
      <c r="I11" s="34">
        <f>H11*AD11</f>
        <v>0</v>
      </c>
      <c r="J11" s="4"/>
      <c r="K11" s="34">
        <f>J11*AD11</f>
        <v>0</v>
      </c>
      <c r="L11" s="4">
        <v>580000</v>
      </c>
      <c r="M11" s="34">
        <f>L11*AD11</f>
        <v>98.60000000000001</v>
      </c>
      <c r="O11" s="34">
        <f>N11*AD11</f>
        <v>0</v>
      </c>
      <c r="Q11" s="34">
        <f>P11*AD11</f>
        <v>0</v>
      </c>
      <c r="R11" s="4"/>
      <c r="S11" s="4"/>
      <c r="T11" s="4" t="s">
        <v>148</v>
      </c>
      <c r="U11" s="4"/>
      <c r="V11" s="4"/>
      <c r="W11" s="4"/>
      <c r="X11" s="4"/>
      <c r="Y11" s="4"/>
      <c r="Z11" s="4"/>
      <c r="AA11" s="4"/>
      <c r="AB11" s="4" t="s">
        <v>192</v>
      </c>
      <c r="AC11" s="34">
        <f>B11+D11+F11+H11+J11+L11+N11+P11</f>
        <v>1170000</v>
      </c>
      <c r="AD11" s="62">
        <f>510/3000000</f>
        <v>0.00017</v>
      </c>
      <c r="AE11" s="62">
        <f>AC11*AD11</f>
        <v>198.9</v>
      </c>
      <c r="AG11" s="34">
        <v>26</v>
      </c>
      <c r="AI11" s="34" t="s">
        <v>173</v>
      </c>
      <c r="AJ11" s="60">
        <f>SUM(G2:G994)</f>
        <v>689.4742333333336</v>
      </c>
      <c r="AL11" s="34" t="s">
        <v>174</v>
      </c>
      <c r="AM11" s="60">
        <f>AJ11/$AJ$5</f>
        <v>24.62407976190477</v>
      </c>
      <c r="AO11" s="34" t="s">
        <v>175</v>
      </c>
      <c r="AP11" s="34">
        <f>COUNTA(Z2:Z52)</f>
        <v>1</v>
      </c>
    </row>
    <row r="12" spans="1:39" ht="14.25">
      <c r="A12" s="2">
        <v>43507</v>
      </c>
      <c r="B12" s="4">
        <f>155000*2</f>
        <v>310000</v>
      </c>
      <c r="C12" s="34">
        <f>B12*AD12</f>
        <v>52.7</v>
      </c>
      <c r="D12" s="4"/>
      <c r="E12" s="34">
        <f>D12*AD12</f>
        <v>0</v>
      </c>
      <c r="F12" s="4">
        <f>120000+40000</f>
        <v>160000</v>
      </c>
      <c r="G12" s="34">
        <f>F12*AD12</f>
        <v>27.200000000000003</v>
      </c>
      <c r="H12" s="4"/>
      <c r="I12" s="34">
        <f>H12*AD12</f>
        <v>0</v>
      </c>
      <c r="J12" s="4"/>
      <c r="K12" s="34">
        <f>J12*AD12</f>
        <v>0</v>
      </c>
      <c r="L12" s="4">
        <v>250000</v>
      </c>
      <c r="M12" s="34">
        <f>L12*AD12</f>
        <v>42.5</v>
      </c>
      <c r="O12" s="34">
        <f>N12*AD12</f>
        <v>0</v>
      </c>
      <c r="Q12" s="34">
        <f>P12*AD12</f>
        <v>0</v>
      </c>
      <c r="R12" s="4"/>
      <c r="S12" s="4"/>
      <c r="T12" s="4" t="s">
        <v>148</v>
      </c>
      <c r="U12" s="4"/>
      <c r="V12" s="4"/>
      <c r="W12" s="4"/>
      <c r="X12" s="4"/>
      <c r="Y12" s="4"/>
      <c r="Z12" s="4"/>
      <c r="AA12" s="4"/>
      <c r="AB12" s="4" t="s">
        <v>192</v>
      </c>
      <c r="AC12" s="34">
        <f>B12+D12+F12+H12+J12+L12+N12+P12</f>
        <v>720000</v>
      </c>
      <c r="AD12" s="62">
        <f>510/3000000</f>
        <v>0.00017</v>
      </c>
      <c r="AE12" s="62">
        <f>AC12*AD12</f>
        <v>122.4</v>
      </c>
      <c r="AG12" s="34">
        <v>26</v>
      </c>
      <c r="AI12" s="34" t="s">
        <v>176</v>
      </c>
      <c r="AJ12" s="60">
        <f>SUM(K2:K994)</f>
        <v>296.48</v>
      </c>
      <c r="AL12" s="34" t="s">
        <v>128</v>
      </c>
      <c r="AM12" s="60">
        <f>AJ12/$AJ$5</f>
        <v>10.588571428571429</v>
      </c>
    </row>
    <row r="13" spans="1:39" ht="14.25">
      <c r="A13" s="2">
        <v>43508</v>
      </c>
      <c r="B13" s="4"/>
      <c r="C13" s="34">
        <f>B13*AD13</f>
        <v>0</v>
      </c>
      <c r="D13" s="4">
        <f>30000+10000+10000+50000</f>
        <v>100000</v>
      </c>
      <c r="E13" s="34">
        <f>D13*AD13</f>
        <v>17</v>
      </c>
      <c r="F13" s="4">
        <f>90000+70000</f>
        <v>160000</v>
      </c>
      <c r="G13" s="34">
        <f>F13*AD13</f>
        <v>27.200000000000003</v>
      </c>
      <c r="H13" s="4"/>
      <c r="I13" s="34">
        <f>H13*AD13</f>
        <v>0</v>
      </c>
      <c r="J13" s="4"/>
      <c r="K13" s="34">
        <f>J13*AD13</f>
        <v>0</v>
      </c>
      <c r="L13" s="4">
        <v>250000</v>
      </c>
      <c r="M13" s="34">
        <f>L13*AD13</f>
        <v>42.5</v>
      </c>
      <c r="O13" s="34">
        <f>N13*AD13</f>
        <v>0</v>
      </c>
      <c r="Q13" s="34">
        <f>P13*AD13</f>
        <v>0</v>
      </c>
      <c r="R13" s="4"/>
      <c r="S13" s="4"/>
      <c r="T13" s="4" t="s">
        <v>148</v>
      </c>
      <c r="U13" s="4"/>
      <c r="V13" s="4"/>
      <c r="W13" s="4"/>
      <c r="X13" s="4"/>
      <c r="Y13" s="4"/>
      <c r="Z13" s="4"/>
      <c r="AA13" s="4"/>
      <c r="AB13" s="4" t="s">
        <v>192</v>
      </c>
      <c r="AC13" s="34">
        <f>B13+D13+F13+H13+J13+L13+N13+P13</f>
        <v>510000</v>
      </c>
      <c r="AD13" s="62">
        <f>510/3000000</f>
        <v>0.00017</v>
      </c>
      <c r="AE13" s="62">
        <f>AC13*AD13</f>
        <v>86.7</v>
      </c>
      <c r="AG13" s="34">
        <v>26</v>
      </c>
      <c r="AI13" s="34" t="s">
        <v>177</v>
      </c>
      <c r="AJ13" s="34">
        <f>SUM(I2:I994)</f>
        <v>6.800000000000001</v>
      </c>
      <c r="AL13" s="34" t="s">
        <v>126</v>
      </c>
      <c r="AM13" s="60">
        <f>AJ13/$AJ$5</f>
        <v>0.24285714285714288</v>
      </c>
    </row>
    <row r="14" spans="1:36" ht="14.25">
      <c r="A14" s="2">
        <v>43509</v>
      </c>
      <c r="B14" s="4"/>
      <c r="C14" s="34">
        <f>B14*AD14</f>
        <v>0</v>
      </c>
      <c r="D14" s="4">
        <f>43000</f>
        <v>43000</v>
      </c>
      <c r="E14" s="34">
        <f>D14*AD14</f>
        <v>7.3100000000000005</v>
      </c>
      <c r="F14" s="4">
        <f>60000+72000</f>
        <v>132000</v>
      </c>
      <c r="G14" s="34">
        <f>F14*AD14</f>
        <v>22.44</v>
      </c>
      <c r="H14" s="4"/>
      <c r="I14" s="34">
        <f>H14*AD14</f>
        <v>0</v>
      </c>
      <c r="J14" s="4"/>
      <c r="K14" s="34">
        <f>J14*AD14</f>
        <v>0</v>
      </c>
      <c r="L14" s="4">
        <v>160000</v>
      </c>
      <c r="M14" s="34">
        <f>L14*AD14</f>
        <v>27.200000000000003</v>
      </c>
      <c r="O14" s="34">
        <f>N14*AD14</f>
        <v>0</v>
      </c>
      <c r="Q14" s="34">
        <f>P14*AD14</f>
        <v>0</v>
      </c>
      <c r="R14" s="4"/>
      <c r="S14" s="4"/>
      <c r="T14" s="4" t="s">
        <v>148</v>
      </c>
      <c r="U14" s="4"/>
      <c r="V14" s="4"/>
      <c r="W14" s="4"/>
      <c r="X14" s="4"/>
      <c r="Y14" s="4"/>
      <c r="Z14" s="4"/>
      <c r="AA14" s="4"/>
      <c r="AB14" s="4" t="s">
        <v>193</v>
      </c>
      <c r="AC14" s="34">
        <f>B14+D14+F14+H14+J14+L14+N14+P14</f>
        <v>335000</v>
      </c>
      <c r="AD14" s="62">
        <f>510/3000000</f>
        <v>0.00017</v>
      </c>
      <c r="AE14" s="62">
        <f>AC14*AD14</f>
        <v>56.95</v>
      </c>
      <c r="AG14" s="34">
        <v>26</v>
      </c>
      <c r="AI14" s="34" t="s">
        <v>178</v>
      </c>
      <c r="AJ14" s="60">
        <f>SUM(O2:O994)</f>
        <v>260.1</v>
      </c>
    </row>
    <row r="15" spans="1:36" ht="14.25">
      <c r="A15" s="2">
        <v>43510</v>
      </c>
      <c r="B15" s="4">
        <f>92000*2+10000*4</f>
        <v>224000</v>
      </c>
      <c r="C15" s="34">
        <f>B15*AD15</f>
        <v>38.080000000000005</v>
      </c>
      <c r="D15" s="4">
        <f>78000+8000</f>
        <v>86000</v>
      </c>
      <c r="E15" s="34">
        <f>D15*AD15</f>
        <v>14.620000000000001</v>
      </c>
      <c r="F15" s="4">
        <f>50000+30000</f>
        <v>80000</v>
      </c>
      <c r="G15" s="34">
        <f>F15*AD15</f>
        <v>13.600000000000001</v>
      </c>
      <c r="H15" s="4">
        <f>20000*2</f>
        <v>40000</v>
      </c>
      <c r="I15" s="34">
        <f>H15*AD15</f>
        <v>6.800000000000001</v>
      </c>
      <c r="J15" s="4"/>
      <c r="K15" s="34">
        <f>J15*AD15</f>
        <v>0</v>
      </c>
      <c r="L15" s="4">
        <v>160000</v>
      </c>
      <c r="M15" s="34">
        <f>L15*AD15</f>
        <v>27.200000000000003</v>
      </c>
      <c r="O15" s="34">
        <f>N15*AD15</f>
        <v>0</v>
      </c>
      <c r="Q15" s="34">
        <f>P15*AD15</f>
        <v>0</v>
      </c>
      <c r="R15" s="4"/>
      <c r="S15" s="4"/>
      <c r="T15" s="4" t="s">
        <v>148</v>
      </c>
      <c r="U15" s="4"/>
      <c r="V15" s="4"/>
      <c r="W15" s="4"/>
      <c r="X15" s="4"/>
      <c r="Y15" s="4"/>
      <c r="Z15" s="4"/>
      <c r="AA15" s="4"/>
      <c r="AB15" s="4" t="s">
        <v>194</v>
      </c>
      <c r="AC15" s="34">
        <f>B15+D15+F15+H15+J15+L15+N15+P15</f>
        <v>590000</v>
      </c>
      <c r="AD15" s="62">
        <f>510/3000000</f>
        <v>0.00017</v>
      </c>
      <c r="AE15" s="62">
        <f>AC15*AD15</f>
        <v>100.30000000000001</v>
      </c>
      <c r="AG15" s="34">
        <v>26</v>
      </c>
      <c r="AI15" s="34" t="s">
        <v>179</v>
      </c>
      <c r="AJ15" s="34">
        <f>SUM(Q2:Q60)</f>
        <v>1036</v>
      </c>
    </row>
    <row r="16" spans="1:35" ht="14.25">
      <c r="A16" s="2">
        <v>43511</v>
      </c>
      <c r="B16" s="4">
        <f>55000</f>
        <v>55000</v>
      </c>
      <c r="C16" s="34">
        <f>B16*AD16</f>
        <v>9.350000000000001</v>
      </c>
      <c r="D16" s="4">
        <v>154000</v>
      </c>
      <c r="E16" s="34">
        <f>D16*AD16</f>
        <v>26.180000000000003</v>
      </c>
      <c r="F16" s="4">
        <v>80000</v>
      </c>
      <c r="G16" s="34">
        <f>F16*AD16</f>
        <v>13.600000000000001</v>
      </c>
      <c r="H16" s="4"/>
      <c r="I16" s="34">
        <f>H16*AD16</f>
        <v>0</v>
      </c>
      <c r="J16" s="4"/>
      <c r="K16" s="34">
        <f>J16*AD16</f>
        <v>0</v>
      </c>
      <c r="L16" s="4">
        <v>190000</v>
      </c>
      <c r="M16" s="34">
        <f>L16*AD16</f>
        <v>32.300000000000004</v>
      </c>
      <c r="O16" s="34">
        <f>N16*AD16</f>
        <v>0</v>
      </c>
      <c r="Q16" s="34">
        <f>P16*AD16</f>
        <v>0</v>
      </c>
      <c r="R16" s="4"/>
      <c r="S16" s="4"/>
      <c r="T16" s="4" t="s">
        <v>148</v>
      </c>
      <c r="U16" s="4"/>
      <c r="V16" s="4"/>
      <c r="W16" s="4"/>
      <c r="X16" s="4"/>
      <c r="Y16" s="4"/>
      <c r="Z16" s="4"/>
      <c r="AA16" s="4"/>
      <c r="AB16" s="4" t="s">
        <v>194</v>
      </c>
      <c r="AC16" s="34">
        <f>B16+D16+F16+H16+J16+L16+N16+P16</f>
        <v>479000</v>
      </c>
      <c r="AD16" s="62">
        <f>510/3000000</f>
        <v>0.00017</v>
      </c>
      <c r="AE16" s="62">
        <f>AC16*AD16</f>
        <v>81.43</v>
      </c>
      <c r="AG16" s="34">
        <v>26</v>
      </c>
      <c r="AI16" s="65"/>
    </row>
    <row r="17" spans="1:44" ht="14.25">
      <c r="A17" s="2">
        <v>43512</v>
      </c>
      <c r="B17" s="4">
        <f>15000*2+340000*2</f>
        <v>710000</v>
      </c>
      <c r="C17" s="34">
        <f>B17*AD17</f>
        <v>120.7</v>
      </c>
      <c r="D17" s="4">
        <v>20000</v>
      </c>
      <c r="E17" s="34">
        <f>D17*AD17</f>
        <v>3.4000000000000004</v>
      </c>
      <c r="F17" s="4">
        <v>60000</v>
      </c>
      <c r="G17" s="34">
        <f>F17*AD17</f>
        <v>10.200000000000001</v>
      </c>
      <c r="H17" s="4"/>
      <c r="I17" s="34">
        <f>H17*AD17</f>
        <v>0</v>
      </c>
      <c r="J17" s="4"/>
      <c r="K17" s="34">
        <f>J17*AD17</f>
        <v>0</v>
      </c>
      <c r="L17" s="4"/>
      <c r="M17" s="34">
        <f>L17*AD17</f>
        <v>0</v>
      </c>
      <c r="O17" s="34">
        <f>N17*AD17</f>
        <v>0</v>
      </c>
      <c r="Q17" s="34">
        <f>P17*AD17</f>
        <v>0</v>
      </c>
      <c r="R17" s="4"/>
      <c r="S17" s="4"/>
      <c r="T17" s="4"/>
      <c r="U17" s="4"/>
      <c r="V17" s="4"/>
      <c r="W17" s="4"/>
      <c r="X17" s="4"/>
      <c r="Y17" s="4"/>
      <c r="Z17" s="4" t="s">
        <v>148</v>
      </c>
      <c r="AA17" s="4"/>
      <c r="AB17" s="4" t="s">
        <v>195</v>
      </c>
      <c r="AC17" s="34">
        <f>B17+D17+F17+H17+J17+L17+N17+P17</f>
        <v>790000</v>
      </c>
      <c r="AD17" s="62">
        <f>510/3000000</f>
        <v>0.00017</v>
      </c>
      <c r="AE17" s="62">
        <f>AC17*AD17</f>
        <v>134.3</v>
      </c>
      <c r="AG17" s="34">
        <v>26</v>
      </c>
      <c r="AR17" s="59"/>
    </row>
    <row r="18" spans="1:44" ht="14.25">
      <c r="A18" s="2">
        <v>43513</v>
      </c>
      <c r="B18" s="4">
        <v>14000</v>
      </c>
      <c r="C18" s="34">
        <f>B18*AD18</f>
        <v>2.3800000000000003</v>
      </c>
      <c r="D18" s="4">
        <f>22000+17000</f>
        <v>39000</v>
      </c>
      <c r="E18" s="34">
        <f>D18*AD18</f>
        <v>6.630000000000001</v>
      </c>
      <c r="F18" s="4">
        <f>60000+80000</f>
        <v>140000</v>
      </c>
      <c r="G18" s="34">
        <f>F18*AD18</f>
        <v>23.8</v>
      </c>
      <c r="H18" s="4"/>
      <c r="I18" s="34">
        <f>H18*AD18</f>
        <v>0</v>
      </c>
      <c r="J18" s="4">
        <v>2000</v>
      </c>
      <c r="K18" s="34">
        <f>J18*AD18</f>
        <v>0.34</v>
      </c>
      <c r="L18" s="4">
        <v>250000</v>
      </c>
      <c r="M18" s="34">
        <f>L18*AD18</f>
        <v>42.5</v>
      </c>
      <c r="O18" s="34">
        <f>N18*AD18</f>
        <v>0</v>
      </c>
      <c r="Q18" s="34">
        <f>P18*AD18</f>
        <v>0</v>
      </c>
      <c r="R18" s="4"/>
      <c r="S18" s="4"/>
      <c r="T18" s="4" t="s">
        <v>148</v>
      </c>
      <c r="U18" s="4"/>
      <c r="V18" s="4"/>
      <c r="W18" s="4"/>
      <c r="X18" s="4"/>
      <c r="Y18" s="4"/>
      <c r="Z18" s="4"/>
      <c r="AA18" s="4"/>
      <c r="AB18" s="4" t="s">
        <v>196</v>
      </c>
      <c r="AC18" s="34">
        <f>B18+D18+F18+H18+J18+L18+N18+P18</f>
        <v>445000</v>
      </c>
      <c r="AD18" s="62">
        <f>510/3000000</f>
        <v>0.00017</v>
      </c>
      <c r="AE18" s="62">
        <f>AC18*AD18</f>
        <v>75.65</v>
      </c>
      <c r="AG18" s="34">
        <v>26</v>
      </c>
      <c r="AI18" s="34" t="s">
        <v>182</v>
      </c>
      <c r="AJ18" s="34">
        <f>SUM(AA2:AA50)</f>
        <v>0</v>
      </c>
      <c r="AR18" s="59"/>
    </row>
    <row r="19" spans="1:33" ht="14.25">
      <c r="A19" s="2">
        <v>43514</v>
      </c>
      <c r="B19" s="4"/>
      <c r="C19" s="34">
        <f>B19*AD19</f>
        <v>0</v>
      </c>
      <c r="D19" s="4">
        <f>162000</f>
        <v>162000</v>
      </c>
      <c r="E19" s="34">
        <f>D19*AD19</f>
        <v>27.540000000000003</v>
      </c>
      <c r="F19" s="4">
        <f>80000</f>
        <v>80000</v>
      </c>
      <c r="G19" s="34">
        <f>F19*AD19</f>
        <v>13.600000000000001</v>
      </c>
      <c r="H19" s="4"/>
      <c r="I19" s="34">
        <f>H19*AD19</f>
        <v>0</v>
      </c>
      <c r="J19" s="4">
        <f>96000+100000+600000</f>
        <v>796000</v>
      </c>
      <c r="K19" s="34">
        <f>J19*AD19</f>
        <v>135.32000000000002</v>
      </c>
      <c r="L19" s="4">
        <v>250000</v>
      </c>
      <c r="M19" s="34">
        <f>L19*AD19</f>
        <v>42.5</v>
      </c>
      <c r="O19" s="34">
        <f>N19*AD19</f>
        <v>0</v>
      </c>
      <c r="Q19" s="34">
        <f>P19*AD19</f>
        <v>0</v>
      </c>
      <c r="R19" s="4"/>
      <c r="S19" s="4"/>
      <c r="T19" s="4" t="s">
        <v>148</v>
      </c>
      <c r="U19" s="4"/>
      <c r="V19" s="4"/>
      <c r="W19" s="4"/>
      <c r="X19" s="4"/>
      <c r="Y19" s="4"/>
      <c r="Z19" s="4"/>
      <c r="AA19" s="4"/>
      <c r="AB19" s="4" t="s">
        <v>196</v>
      </c>
      <c r="AC19" s="34">
        <f>B19+D19+F19+H19+J19+L19+N19+P19</f>
        <v>1288000</v>
      </c>
      <c r="AD19" s="62">
        <f>510/3000000</f>
        <v>0.00017</v>
      </c>
      <c r="AE19" s="62">
        <f>AC19*AD19</f>
        <v>218.96</v>
      </c>
      <c r="AG19" s="34">
        <v>26</v>
      </c>
    </row>
    <row r="20" spans="1:33" ht="14.25">
      <c r="A20" s="2">
        <v>43515</v>
      </c>
      <c r="B20" s="4"/>
      <c r="C20" s="34">
        <f>B20*AD20</f>
        <v>0</v>
      </c>
      <c r="D20" s="4">
        <f>102000</f>
        <v>102000</v>
      </c>
      <c r="E20" s="34">
        <f>D20*AD20</f>
        <v>17.34</v>
      </c>
      <c r="F20" s="4">
        <f>70000</f>
        <v>70000</v>
      </c>
      <c r="G20" s="34">
        <f>F20*AD20</f>
        <v>11.9</v>
      </c>
      <c r="H20" s="4"/>
      <c r="I20" s="34">
        <f>H20*AD20</f>
        <v>0</v>
      </c>
      <c r="J20" s="4"/>
      <c r="K20" s="34">
        <f>J20*AD20</f>
        <v>0</v>
      </c>
      <c r="L20" s="4">
        <v>250000</v>
      </c>
      <c r="M20" s="34">
        <f>L20*AD20</f>
        <v>42.5</v>
      </c>
      <c r="O20" s="34">
        <f>N20*AD20</f>
        <v>0</v>
      </c>
      <c r="Q20" s="34">
        <f>P20*AD20</f>
        <v>0</v>
      </c>
      <c r="R20" s="4"/>
      <c r="S20" s="4"/>
      <c r="T20" s="4" t="s">
        <v>148</v>
      </c>
      <c r="U20" s="4"/>
      <c r="V20" s="4"/>
      <c r="W20" s="4"/>
      <c r="X20" s="4"/>
      <c r="Y20" s="4"/>
      <c r="Z20" s="4"/>
      <c r="AA20" s="4"/>
      <c r="AB20" s="4" t="s">
        <v>196</v>
      </c>
      <c r="AC20" s="34">
        <f>B20+D20+F20+H20+J20+L20+N20+P20</f>
        <v>422000</v>
      </c>
      <c r="AD20" s="62">
        <f>510/3000000</f>
        <v>0.00017</v>
      </c>
      <c r="AE20" s="62">
        <f>AC20*AD20</f>
        <v>71.74000000000001</v>
      </c>
      <c r="AG20" s="34">
        <v>26</v>
      </c>
    </row>
    <row r="21" spans="1:33" ht="14.25">
      <c r="A21" s="2">
        <v>43516</v>
      </c>
      <c r="B21" s="4"/>
      <c r="C21" s="34">
        <f>B21*AD21</f>
        <v>0</v>
      </c>
      <c r="D21" s="4">
        <f>50000</f>
        <v>50000</v>
      </c>
      <c r="E21" s="34">
        <f>D21*AD21</f>
        <v>8.5</v>
      </c>
      <c r="F21" s="4">
        <f>70000+116000</f>
        <v>186000</v>
      </c>
      <c r="G21" s="34">
        <f>F21*AD21</f>
        <v>31.62</v>
      </c>
      <c r="H21" s="4"/>
      <c r="I21" s="34">
        <f>H21*AD21</f>
        <v>0</v>
      </c>
      <c r="J21" s="4"/>
      <c r="K21" s="34">
        <f>J21*AD21</f>
        <v>0</v>
      </c>
      <c r="L21" s="4">
        <v>250000</v>
      </c>
      <c r="M21" s="34">
        <f>L21*AD21</f>
        <v>42.5</v>
      </c>
      <c r="O21" s="34">
        <f>N21*AD21</f>
        <v>0</v>
      </c>
      <c r="Q21" s="34">
        <f>P21*AD21</f>
        <v>0</v>
      </c>
      <c r="R21" s="4"/>
      <c r="S21" s="4"/>
      <c r="T21" s="4" t="s">
        <v>148</v>
      </c>
      <c r="U21" s="4"/>
      <c r="V21" s="4"/>
      <c r="W21" s="4"/>
      <c r="X21" s="4"/>
      <c r="Y21" s="4"/>
      <c r="Z21" s="4"/>
      <c r="AA21" s="4"/>
      <c r="AB21" s="4" t="s">
        <v>196</v>
      </c>
      <c r="AC21" s="34">
        <f>B21+D21+F21+H21+J21+L21+N21+P21</f>
        <v>486000</v>
      </c>
      <c r="AD21" s="62">
        <f>510/3000000</f>
        <v>0.00017</v>
      </c>
      <c r="AE21" s="62">
        <f>AC21*AD21</f>
        <v>82.62</v>
      </c>
      <c r="AG21" s="34">
        <v>26</v>
      </c>
    </row>
    <row r="22" spans="1:33" ht="14.25">
      <c r="A22" s="2">
        <v>43517</v>
      </c>
      <c r="B22" s="4"/>
      <c r="C22" s="34">
        <f>B22*AD22</f>
        <v>0</v>
      </c>
      <c r="D22" s="4">
        <f>80000</f>
        <v>80000</v>
      </c>
      <c r="E22" s="34">
        <f>D22*AD22</f>
        <v>13.600000000000001</v>
      </c>
      <c r="F22" s="4">
        <v>70000</v>
      </c>
      <c r="G22" s="34">
        <f>F22*AD22</f>
        <v>11.9</v>
      </c>
      <c r="H22" s="4"/>
      <c r="I22" s="34">
        <f>H22*AD22</f>
        <v>0</v>
      </c>
      <c r="J22" s="4">
        <v>36000</v>
      </c>
      <c r="K22" s="34">
        <f>J22*AD22</f>
        <v>6.12</v>
      </c>
      <c r="L22" s="4">
        <v>250000</v>
      </c>
      <c r="M22" s="34">
        <f>L22*AD22</f>
        <v>42.5</v>
      </c>
      <c r="O22" s="34">
        <f>N22*AD22</f>
        <v>0</v>
      </c>
      <c r="Q22" s="34">
        <f>P22*AD22</f>
        <v>0</v>
      </c>
      <c r="R22" s="4"/>
      <c r="S22" s="4"/>
      <c r="T22" s="4" t="s">
        <v>148</v>
      </c>
      <c r="U22" s="4"/>
      <c r="V22" s="4"/>
      <c r="W22" s="4"/>
      <c r="X22" s="4"/>
      <c r="Y22" s="4"/>
      <c r="Z22" s="4"/>
      <c r="AA22" s="4"/>
      <c r="AB22" s="4" t="s">
        <v>196</v>
      </c>
      <c r="AC22" s="34">
        <f>B22+D22+F22+H22+J22+L22+N22+P22</f>
        <v>436000</v>
      </c>
      <c r="AD22" s="62">
        <f>510/3000000</f>
        <v>0.00017</v>
      </c>
      <c r="AE22" s="62">
        <f>AC22*AD22</f>
        <v>74.12</v>
      </c>
      <c r="AG22" s="34">
        <v>26</v>
      </c>
    </row>
    <row r="23" spans="1:33" ht="14.25">
      <c r="A23" s="2">
        <v>43518</v>
      </c>
      <c r="B23" s="4"/>
      <c r="C23" s="34">
        <f>B23*AD23</f>
        <v>0</v>
      </c>
      <c r="D23" s="4">
        <f>143000</f>
        <v>143000</v>
      </c>
      <c r="E23" s="34">
        <f>D23*AD23</f>
        <v>24.310000000000002</v>
      </c>
      <c r="F23" s="4">
        <f>70000</f>
        <v>70000</v>
      </c>
      <c r="G23" s="34">
        <f>F23*AD23</f>
        <v>11.9</v>
      </c>
      <c r="H23" s="4"/>
      <c r="I23" s="34">
        <f>H23*AD23</f>
        <v>0</v>
      </c>
      <c r="J23" s="4"/>
      <c r="K23" s="34">
        <f>J23*AD23</f>
        <v>0</v>
      </c>
      <c r="L23" s="4">
        <v>250000</v>
      </c>
      <c r="M23" s="34">
        <f>L23*AD23</f>
        <v>42.5</v>
      </c>
      <c r="O23" s="34">
        <f>N23*AD23</f>
        <v>0</v>
      </c>
      <c r="Q23" s="34">
        <f>P23*AD23</f>
        <v>0</v>
      </c>
      <c r="R23" s="4"/>
      <c r="S23" s="4"/>
      <c r="T23" s="4" t="s">
        <v>148</v>
      </c>
      <c r="U23" s="4"/>
      <c r="V23" s="4"/>
      <c r="W23" s="4"/>
      <c r="X23" s="4"/>
      <c r="Y23" s="4"/>
      <c r="Z23" s="4"/>
      <c r="AA23" s="4"/>
      <c r="AB23" s="4" t="s">
        <v>196</v>
      </c>
      <c r="AC23" s="34">
        <f>B23+D23+F23+H23+J23+L23+N23+P23</f>
        <v>463000</v>
      </c>
      <c r="AD23" s="62">
        <f>510/3000000</f>
        <v>0.00017</v>
      </c>
      <c r="AE23" s="62">
        <f>AC23*AD23</f>
        <v>78.71000000000001</v>
      </c>
      <c r="AG23" s="34">
        <v>26</v>
      </c>
    </row>
    <row r="24" spans="1:33" ht="14.25">
      <c r="A24" s="2"/>
      <c r="B24" s="4"/>
      <c r="C24" s="34">
        <f>B24*AD24</f>
        <v>0</v>
      </c>
      <c r="D24" s="4"/>
      <c r="E24" s="34">
        <f>D24*AD24</f>
        <v>0</v>
      </c>
      <c r="F24" s="4"/>
      <c r="G24" s="34">
        <f>F24*AD24</f>
        <v>0</v>
      </c>
      <c r="H24" s="4"/>
      <c r="I24" s="34">
        <f>H24*AD24</f>
        <v>0</v>
      </c>
      <c r="J24" s="4"/>
      <c r="K24" s="34">
        <f>J24*AD24</f>
        <v>0</v>
      </c>
      <c r="L24" s="4"/>
      <c r="M24" s="34">
        <f>L24*AD24</f>
        <v>0</v>
      </c>
      <c r="O24" s="34">
        <f>N24*AD24</f>
        <v>0</v>
      </c>
      <c r="P24" s="34">
        <f>140*2</f>
        <v>280</v>
      </c>
      <c r="Q24" s="34">
        <f>P24*AD24</f>
        <v>1036</v>
      </c>
      <c r="R24" s="4"/>
      <c r="S24" s="4"/>
      <c r="T24" s="4"/>
      <c r="U24" s="4"/>
      <c r="V24" s="4"/>
      <c r="W24" s="4"/>
      <c r="X24" s="4"/>
      <c r="Y24" s="4"/>
      <c r="Z24" s="4"/>
      <c r="AA24" s="4"/>
      <c r="AB24" s="4"/>
      <c r="AC24" s="34">
        <f>B24+D24+F24+H24+J24+L24+N24+P24</f>
        <v>280</v>
      </c>
      <c r="AD24" s="62">
        <v>3.7</v>
      </c>
      <c r="AE24" s="62">
        <f>AC24*AD24</f>
        <v>1036</v>
      </c>
      <c r="AG24" s="34">
        <v>27</v>
      </c>
    </row>
    <row r="25" spans="1:33" ht="14.25">
      <c r="A25" s="2">
        <v>43519</v>
      </c>
      <c r="B25" s="4"/>
      <c r="C25" s="34">
        <f>B25*AD25</f>
        <v>0</v>
      </c>
      <c r="D25" s="4">
        <v>129000</v>
      </c>
      <c r="E25" s="34">
        <f>D25*AD25</f>
        <v>21.930000000000003</v>
      </c>
      <c r="F25" s="4">
        <f>82000</f>
        <v>82000</v>
      </c>
      <c r="G25" s="34">
        <f>F25*AD25</f>
        <v>13.940000000000001</v>
      </c>
      <c r="H25" s="4"/>
      <c r="I25" s="34">
        <f>H25*AD25</f>
        <v>0</v>
      </c>
      <c r="J25" s="4"/>
      <c r="K25" s="34">
        <f>J25*AD25</f>
        <v>0</v>
      </c>
      <c r="L25" s="4">
        <v>200000</v>
      </c>
      <c r="M25" s="34">
        <f>L25*AD25</f>
        <v>34</v>
      </c>
      <c r="N25" s="34">
        <v>550000</v>
      </c>
      <c r="O25" s="34">
        <f>N25*AD25</f>
        <v>93.5</v>
      </c>
      <c r="Q25" s="34">
        <f>P25*AD25</f>
        <v>0</v>
      </c>
      <c r="R25" s="4"/>
      <c r="S25" s="4"/>
      <c r="T25" s="4" t="s">
        <v>148</v>
      </c>
      <c r="U25" s="4"/>
      <c r="V25" s="4"/>
      <c r="W25" s="4"/>
      <c r="X25" s="4"/>
      <c r="Y25" s="4"/>
      <c r="Z25" s="4"/>
      <c r="AA25" s="4"/>
      <c r="AB25" s="4" t="s">
        <v>196</v>
      </c>
      <c r="AC25" s="34">
        <f>B25+D25+F25+H25+J25+L25+N25+P25</f>
        <v>961000</v>
      </c>
      <c r="AD25" s="62">
        <f>510/3000000</f>
        <v>0.00017</v>
      </c>
      <c r="AE25" s="62">
        <f>AC25*AD25</f>
        <v>163.37</v>
      </c>
      <c r="AG25" s="34">
        <v>26</v>
      </c>
    </row>
    <row r="26" spans="1:33" ht="14.25">
      <c r="A26" s="2">
        <v>43520</v>
      </c>
      <c r="B26" s="4"/>
      <c r="C26" s="34">
        <f>B26*AD26</f>
        <v>0</v>
      </c>
      <c r="D26" s="4">
        <v>255000</v>
      </c>
      <c r="E26" s="34">
        <f>D26*AD26</f>
        <v>43.35</v>
      </c>
      <c r="F26" s="4">
        <f>110000+20000</f>
        <v>130000</v>
      </c>
      <c r="G26" s="34">
        <f>F26*AD26</f>
        <v>22.1</v>
      </c>
      <c r="H26" s="4"/>
      <c r="I26" s="34">
        <f>H26*AD26</f>
        <v>0</v>
      </c>
      <c r="J26" s="4">
        <f>260000*2</f>
        <v>520000</v>
      </c>
      <c r="K26" s="34">
        <f>J26*AD26</f>
        <v>88.4</v>
      </c>
      <c r="L26" s="4">
        <v>200000</v>
      </c>
      <c r="M26" s="34">
        <f>L26*AD26</f>
        <v>34</v>
      </c>
      <c r="N26" s="34">
        <f>500000+480000</f>
        <v>980000</v>
      </c>
      <c r="O26" s="34">
        <f>N26*AD26</f>
        <v>166.60000000000002</v>
      </c>
      <c r="Q26" s="34">
        <f>P26*AD26</f>
        <v>0</v>
      </c>
      <c r="R26" s="4"/>
      <c r="S26" s="4"/>
      <c r="T26" s="4" t="s">
        <v>148</v>
      </c>
      <c r="U26" s="4"/>
      <c r="V26" s="4"/>
      <c r="W26" s="4"/>
      <c r="X26" s="4"/>
      <c r="Y26" s="4"/>
      <c r="Z26" s="4"/>
      <c r="AA26" s="4"/>
      <c r="AB26" s="4" t="s">
        <v>196</v>
      </c>
      <c r="AC26" s="34">
        <f>B26+D26+F26+H26+J26+L26+N26+P26</f>
        <v>2085000</v>
      </c>
      <c r="AD26" s="62">
        <f>510/3000000</f>
        <v>0.00017</v>
      </c>
      <c r="AE26" s="62">
        <f>AC26*AD26</f>
        <v>354.45000000000005</v>
      </c>
      <c r="AG26" s="34">
        <v>26</v>
      </c>
    </row>
    <row r="27" spans="1:33" ht="14.25">
      <c r="A27" s="2">
        <v>43521</v>
      </c>
      <c r="B27" s="4">
        <f>7000*2+70000*2</f>
        <v>154000</v>
      </c>
      <c r="C27" s="34">
        <f>B27*AD27</f>
        <v>27.67739333333333</v>
      </c>
      <c r="D27" s="4">
        <f>19000+65000</f>
        <v>84000</v>
      </c>
      <c r="E27" s="34">
        <f>D27*AD27</f>
        <v>15.096759999999998</v>
      </c>
      <c r="F27" s="4">
        <v>100000</v>
      </c>
      <c r="G27" s="34">
        <f>F27*AD27</f>
        <v>17.97233333333333</v>
      </c>
      <c r="H27" s="4"/>
      <c r="I27" s="34">
        <f>H27*AD27</f>
        <v>0</v>
      </c>
      <c r="J27" s="4"/>
      <c r="K27" s="34">
        <f>J27*AD27</f>
        <v>0</v>
      </c>
      <c r="L27" s="4">
        <v>200000</v>
      </c>
      <c r="M27" s="34">
        <f>L27*AD27</f>
        <v>35.94466666666666</v>
      </c>
      <c r="O27" s="34">
        <f>N27*AD27</f>
        <v>0</v>
      </c>
      <c r="Q27" s="34">
        <f>P27*AD27</f>
        <v>0</v>
      </c>
      <c r="R27" s="4"/>
      <c r="S27" s="4"/>
      <c r="T27" s="4" t="s">
        <v>148</v>
      </c>
      <c r="U27" s="4"/>
      <c r="V27" s="4"/>
      <c r="W27" s="4"/>
      <c r="X27" s="4"/>
      <c r="Y27" s="4"/>
      <c r="Z27" s="4"/>
      <c r="AA27" s="4"/>
      <c r="AB27" s="4" t="s">
        <v>197</v>
      </c>
      <c r="AC27" s="34">
        <f>B27+D27+F27+H27+J27+L27+N27+P27</f>
        <v>538000</v>
      </c>
      <c r="AD27" s="62">
        <f>539.17/3000000</f>
        <v>0.0001797233333333333</v>
      </c>
      <c r="AE27" s="62">
        <f>AC27*AD27</f>
        <v>96.69115333333332</v>
      </c>
      <c r="AG27" s="34">
        <v>26</v>
      </c>
    </row>
    <row r="28" spans="1:33" ht="14.25">
      <c r="A28" s="2">
        <v>43522</v>
      </c>
      <c r="B28" s="4"/>
      <c r="C28" s="34">
        <f>B28*AD28</f>
        <v>0</v>
      </c>
      <c r="D28" s="4">
        <v>85000</v>
      </c>
      <c r="E28" s="34">
        <f>D28*AD28</f>
        <v>15.276483333333331</v>
      </c>
      <c r="F28" s="4">
        <v>70000</v>
      </c>
      <c r="G28" s="34">
        <f>F28*AD28</f>
        <v>12.580633333333331</v>
      </c>
      <c r="H28" s="4"/>
      <c r="I28" s="34">
        <f>H28*AD28</f>
        <v>0</v>
      </c>
      <c r="J28" s="4"/>
      <c r="K28" s="34">
        <f>J28*AD28</f>
        <v>0</v>
      </c>
      <c r="L28" s="4">
        <v>200000</v>
      </c>
      <c r="M28" s="34">
        <f>L28*AD28</f>
        <v>35.94466666666666</v>
      </c>
      <c r="O28" s="34">
        <f>N28*AD28</f>
        <v>0</v>
      </c>
      <c r="Q28" s="34">
        <f>P28*AD28</f>
        <v>0</v>
      </c>
      <c r="R28" s="4"/>
      <c r="S28" s="4"/>
      <c r="T28" s="4" t="s">
        <v>148</v>
      </c>
      <c r="U28" s="4"/>
      <c r="V28" s="4"/>
      <c r="W28" s="4"/>
      <c r="X28" s="4"/>
      <c r="Y28" s="4"/>
      <c r="Z28" s="4"/>
      <c r="AA28" s="4"/>
      <c r="AB28" s="4" t="s">
        <v>198</v>
      </c>
      <c r="AC28" s="34">
        <f>B28+D28+F28+H28+J28+L28+N28+P28</f>
        <v>355000</v>
      </c>
      <c r="AD28" s="62">
        <f>539.17/3000000</f>
        <v>0.0001797233333333333</v>
      </c>
      <c r="AE28" s="62">
        <f>AC28*AD28</f>
        <v>63.801783333333326</v>
      </c>
      <c r="AG28" s="34">
        <v>26</v>
      </c>
    </row>
    <row r="29" spans="1:33" ht="12.75">
      <c r="A29" s="2">
        <v>43523</v>
      </c>
      <c r="B29" s="4"/>
      <c r="C29" s="34">
        <f>B29*AD29</f>
        <v>0</v>
      </c>
      <c r="D29" s="4">
        <f>175000+42000</f>
        <v>217000</v>
      </c>
      <c r="E29" s="34">
        <f>D29*AD29</f>
        <v>38.999963333333326</v>
      </c>
      <c r="F29" s="4">
        <v>70000</v>
      </c>
      <c r="G29" s="34">
        <f>F29*AD29</f>
        <v>12.580633333333331</v>
      </c>
      <c r="H29" s="4"/>
      <c r="I29" s="34">
        <f>H29*AD29</f>
        <v>0</v>
      </c>
      <c r="J29" s="4"/>
      <c r="K29" s="34">
        <f>J29*AD29</f>
        <v>0</v>
      </c>
      <c r="L29" s="4">
        <v>200000</v>
      </c>
      <c r="M29" s="34">
        <f>L29*AD29</f>
        <v>35.94466666666666</v>
      </c>
      <c r="O29" s="34">
        <f>N29*AD29</f>
        <v>0</v>
      </c>
      <c r="Q29" s="34">
        <f>P29*AD29</f>
        <v>0</v>
      </c>
      <c r="R29" s="4"/>
      <c r="S29" s="4"/>
      <c r="T29" s="4" t="s">
        <v>148</v>
      </c>
      <c r="U29" s="4"/>
      <c r="V29" s="4"/>
      <c r="W29" s="4"/>
      <c r="X29" s="4"/>
      <c r="Y29" s="4"/>
      <c r="Z29" s="4"/>
      <c r="AA29" s="4"/>
      <c r="AB29" s="4" t="s">
        <v>198</v>
      </c>
      <c r="AC29" s="34">
        <f>B29+D29+F29+H29+J29+L29+N29+P29</f>
        <v>487000</v>
      </c>
      <c r="AD29" s="62">
        <f>539.17/3000000</f>
        <v>0.0001797233333333333</v>
      </c>
      <c r="AE29" s="62">
        <f>AC29*AD29</f>
        <v>87.52526333333331</v>
      </c>
      <c r="AG29" s="34">
        <v>26</v>
      </c>
    </row>
    <row r="30" spans="1:33" ht="12.75">
      <c r="A30" s="2">
        <v>43524</v>
      </c>
      <c r="B30" s="4"/>
      <c r="C30" s="34">
        <f>B30*AD30</f>
        <v>0</v>
      </c>
      <c r="D30" s="4">
        <f>78000</f>
        <v>78000</v>
      </c>
      <c r="E30" s="34">
        <f>D30*AD30</f>
        <v>14.018419999999997</v>
      </c>
      <c r="F30" s="4">
        <v>70000</v>
      </c>
      <c r="G30" s="34">
        <f>F30*AD30</f>
        <v>12.580633333333331</v>
      </c>
      <c r="H30" s="4"/>
      <c r="I30" s="34">
        <f>H30*AD30</f>
        <v>0</v>
      </c>
      <c r="J30" s="4"/>
      <c r="K30" s="34">
        <f>J30*AD30</f>
        <v>0</v>
      </c>
      <c r="L30" s="4">
        <v>200000</v>
      </c>
      <c r="M30" s="34">
        <f>L30*AD30</f>
        <v>35.94466666666666</v>
      </c>
      <c r="O30" s="34">
        <f>N30*AD30</f>
        <v>0</v>
      </c>
      <c r="Q30" s="34">
        <f>P30*AD30</f>
        <v>0</v>
      </c>
      <c r="R30" s="4"/>
      <c r="S30" s="4"/>
      <c r="T30" s="4" t="s">
        <v>148</v>
      </c>
      <c r="U30" s="4"/>
      <c r="V30" s="4"/>
      <c r="W30" s="4"/>
      <c r="X30" s="4"/>
      <c r="Y30" s="4"/>
      <c r="Z30" s="4"/>
      <c r="AA30" s="4"/>
      <c r="AB30" s="4" t="s">
        <v>198</v>
      </c>
      <c r="AC30" s="34">
        <f>B30+D30+F30+H30+J30+L30+N30+P30</f>
        <v>348000</v>
      </c>
      <c r="AD30" s="62">
        <f>539.17/3000000</f>
        <v>0.0001797233333333333</v>
      </c>
      <c r="AE30" s="62">
        <f>AC30*AD30</f>
        <v>62.54371999999999</v>
      </c>
      <c r="AG30" s="34">
        <v>26</v>
      </c>
    </row>
    <row r="31" spans="1:33" ht="12.75">
      <c r="A31" s="2"/>
      <c r="B31" s="4"/>
      <c r="C31" s="34">
        <f>B31*AD31</f>
        <v>0</v>
      </c>
      <c r="D31" s="4"/>
      <c r="E31" s="34">
        <f>D31*AD31</f>
        <v>0</v>
      </c>
      <c r="F31" s="4"/>
      <c r="G31" s="34">
        <f>F31*AD31</f>
        <v>0</v>
      </c>
      <c r="H31" s="4"/>
      <c r="I31" s="34">
        <f>H31*AD31</f>
        <v>0</v>
      </c>
      <c r="J31" s="4"/>
      <c r="K31" s="34">
        <f>J31*AD31</f>
        <v>0</v>
      </c>
      <c r="L31" s="4"/>
      <c r="M31" s="34">
        <f>L31*AD31</f>
        <v>0</v>
      </c>
      <c r="O31" s="34">
        <f>N31*AD31</f>
        <v>0</v>
      </c>
      <c r="Q31" s="34">
        <f>P31*AD31</f>
        <v>0</v>
      </c>
      <c r="R31" s="4"/>
      <c r="S31" s="4"/>
      <c r="T31" s="4"/>
      <c r="U31" s="4"/>
      <c r="V31" s="4"/>
      <c r="W31" s="4"/>
      <c r="X31" s="4"/>
      <c r="Y31" s="4"/>
      <c r="Z31" s="4"/>
      <c r="AA31" s="4"/>
      <c r="AB31" s="4"/>
      <c r="AC31" s="34">
        <f>B31+D31+F31+H31+J31+L31+N31+P31</f>
        <v>0</v>
      </c>
      <c r="AD31" s="62">
        <f>539.17/3000000</f>
        <v>0.0001797233333333333</v>
      </c>
      <c r="AE31" s="62">
        <f>AC31*AD31</f>
        <v>0</v>
      </c>
      <c r="AG31" s="34">
        <v>26</v>
      </c>
    </row>
    <row r="32" spans="1:33" ht="12.75">
      <c r="A32" s="2"/>
      <c r="B32" s="4"/>
      <c r="C32" s="34">
        <f>B32*AD32</f>
        <v>0</v>
      </c>
      <c r="D32" s="4"/>
      <c r="E32" s="34">
        <f>D32*AD32</f>
        <v>0</v>
      </c>
      <c r="F32" s="4"/>
      <c r="G32" s="34">
        <f>F32*AD32</f>
        <v>0</v>
      </c>
      <c r="H32" s="4"/>
      <c r="I32" s="34">
        <f>H32*AD32</f>
        <v>0</v>
      </c>
      <c r="J32" s="4"/>
      <c r="K32" s="34">
        <f>J32*AD32</f>
        <v>0</v>
      </c>
      <c r="L32" s="4"/>
      <c r="M32" s="34">
        <f>L32*AD32</f>
        <v>0</v>
      </c>
      <c r="O32" s="34">
        <f>N32*AD32</f>
        <v>0</v>
      </c>
      <c r="Q32" s="34">
        <f>P32*AD32</f>
        <v>0</v>
      </c>
      <c r="R32" s="4"/>
      <c r="S32" s="4"/>
      <c r="T32" s="4"/>
      <c r="U32" s="4"/>
      <c r="V32" s="4"/>
      <c r="W32" s="4"/>
      <c r="X32" s="4"/>
      <c r="Y32" s="4"/>
      <c r="Z32" s="4"/>
      <c r="AA32" s="4"/>
      <c r="AB32" s="4"/>
      <c r="AC32" s="34">
        <f>B32+D32+F32+H32+J32+L32+N32+P32</f>
        <v>0</v>
      </c>
      <c r="AD32" s="62">
        <f>539.17/3000000</f>
        <v>0.0001797233333333333</v>
      </c>
      <c r="AE32" s="62">
        <f>AC32*AD32</f>
        <v>0</v>
      </c>
      <c r="AG32" s="34">
        <v>26</v>
      </c>
    </row>
    <row r="33" spans="1:33" ht="12.75">
      <c r="A33" s="4"/>
      <c r="B33" s="4"/>
      <c r="C33" s="34">
        <f>B33*AD33</f>
        <v>0</v>
      </c>
      <c r="D33" s="4"/>
      <c r="E33" s="34">
        <f>D33*AD33</f>
        <v>0</v>
      </c>
      <c r="F33" s="4"/>
      <c r="G33" s="34">
        <f>F33*AD33</f>
        <v>0</v>
      </c>
      <c r="H33" s="4"/>
      <c r="I33" s="34">
        <f>H33*AD33</f>
        <v>0</v>
      </c>
      <c r="J33" s="4"/>
      <c r="K33" s="34">
        <f>J33*AD33</f>
        <v>0</v>
      </c>
      <c r="L33" s="4"/>
      <c r="M33" s="34">
        <f>L33*AD33</f>
        <v>0</v>
      </c>
      <c r="O33" s="34">
        <f>N33*AD33</f>
        <v>0</v>
      </c>
      <c r="Q33" s="34">
        <f>P33*AD33</f>
        <v>0</v>
      </c>
      <c r="AC33" s="34">
        <f>B33+D33+F33+H33+J33+L33+N33+P33</f>
        <v>0</v>
      </c>
      <c r="AD33" s="62">
        <f>539.17/3000000</f>
        <v>0.0001797233333333333</v>
      </c>
      <c r="AE33" s="62">
        <f>AC33*AD33</f>
        <v>0</v>
      </c>
      <c r="AG33" s="34">
        <v>26</v>
      </c>
    </row>
    <row r="34" spans="1:33" ht="12.75">
      <c r="A34" s="4"/>
      <c r="B34" s="4"/>
      <c r="C34" s="34">
        <f>B34*AD34</f>
        <v>0</v>
      </c>
      <c r="D34" s="4"/>
      <c r="E34" s="34">
        <f>D34*AD34</f>
        <v>0</v>
      </c>
      <c r="F34" s="4"/>
      <c r="G34" s="34">
        <f>F34*AD34</f>
        <v>0</v>
      </c>
      <c r="H34" s="4"/>
      <c r="I34" s="34">
        <f>H34*AD34</f>
        <v>0</v>
      </c>
      <c r="J34" s="4"/>
      <c r="K34" s="34">
        <f>J34*AD34</f>
        <v>0</v>
      </c>
      <c r="L34" s="4"/>
      <c r="M34" s="34">
        <f>L34*AD34</f>
        <v>0</v>
      </c>
      <c r="O34" s="34">
        <f>N34*AD34</f>
        <v>0</v>
      </c>
      <c r="Q34" s="34">
        <f>P34*AD34</f>
        <v>0</v>
      </c>
      <c r="AC34" s="34">
        <f>B34+D34+F34+H34+J34+L34+N34+P34</f>
        <v>0</v>
      </c>
      <c r="AD34" s="62">
        <f>539.17/3000000</f>
        <v>0.0001797233333333333</v>
      </c>
      <c r="AE34" s="62">
        <f>AC34*AD34</f>
        <v>0</v>
      </c>
      <c r="AG34" s="34">
        <v>26</v>
      </c>
    </row>
    <row r="35" spans="1:33" ht="12.75">
      <c r="A35" s="4"/>
      <c r="B35" s="4"/>
      <c r="C35" s="34">
        <f>B35*AD35</f>
        <v>0</v>
      </c>
      <c r="D35" s="4"/>
      <c r="E35" s="34">
        <f>D35*AD35</f>
        <v>0</v>
      </c>
      <c r="F35" s="4"/>
      <c r="G35" s="34">
        <f>F35*AD35</f>
        <v>0</v>
      </c>
      <c r="H35" s="4"/>
      <c r="I35" s="34">
        <f>H35*AD35</f>
        <v>0</v>
      </c>
      <c r="J35" s="4"/>
      <c r="K35" s="34">
        <f>J35*AD35</f>
        <v>0</v>
      </c>
      <c r="L35" s="4"/>
      <c r="M35" s="34">
        <f>L35*AD35</f>
        <v>0</v>
      </c>
      <c r="O35" s="34">
        <f>N35*AD35</f>
        <v>0</v>
      </c>
      <c r="Q35" s="34">
        <f>P35*AD35</f>
        <v>0</v>
      </c>
      <c r="AC35" s="34">
        <f>B35+D35+F35+H35+J35+L35+N35+P35</f>
        <v>0</v>
      </c>
      <c r="AD35" s="34">
        <v>0.07063000000000001</v>
      </c>
      <c r="AE35" s="62">
        <f>AC35*AD35</f>
        <v>0</v>
      </c>
      <c r="AG35" s="34">
        <v>26</v>
      </c>
    </row>
    <row r="36" spans="1:31" ht="12.75">
      <c r="A36" s="4"/>
      <c r="B36" s="4"/>
      <c r="C36" s="34">
        <f>B36*AD36</f>
        <v>0</v>
      </c>
      <c r="D36" s="4"/>
      <c r="E36" s="34">
        <f>D36*AD36</f>
        <v>0</v>
      </c>
      <c r="F36" s="4"/>
      <c r="G36" s="34">
        <f>F36*AD36</f>
        <v>0</v>
      </c>
      <c r="H36" s="4"/>
      <c r="I36" s="34">
        <f>H36*AD36</f>
        <v>0</v>
      </c>
      <c r="J36" s="4"/>
      <c r="K36" s="34">
        <f>J36*AD36</f>
        <v>0</v>
      </c>
      <c r="L36" s="4"/>
      <c r="M36" s="34">
        <f>L36*AD36</f>
        <v>0</v>
      </c>
      <c r="O36" s="34">
        <f>N36*AD36</f>
        <v>0</v>
      </c>
      <c r="Q36" s="34">
        <f>P36*AD36</f>
        <v>0</v>
      </c>
      <c r="AC36" s="34">
        <f>B36+D36+F36+H36+J36+L36+N36+P36</f>
        <v>0</v>
      </c>
      <c r="AD36" s="34">
        <v>0.07063000000000001</v>
      </c>
      <c r="AE36" s="62">
        <f>AC36*AD36</f>
        <v>0</v>
      </c>
    </row>
    <row r="37" spans="1:31" ht="12.75">
      <c r="A37" s="4"/>
      <c r="B37" s="4"/>
      <c r="C37" s="34">
        <f>B37*AD37</f>
        <v>0</v>
      </c>
      <c r="D37" s="4"/>
      <c r="E37" s="34">
        <f>D37*AD37</f>
        <v>0</v>
      </c>
      <c r="F37" s="4"/>
      <c r="G37" s="34">
        <f>F37*AD37</f>
        <v>0</v>
      </c>
      <c r="H37" s="4"/>
      <c r="I37" s="34">
        <f>H37*AD37</f>
        <v>0</v>
      </c>
      <c r="J37" s="4"/>
      <c r="K37" s="34">
        <f>J37*AD37</f>
        <v>0</v>
      </c>
      <c r="L37" s="4"/>
      <c r="M37" s="34">
        <f>L37*AD37</f>
        <v>0</v>
      </c>
      <c r="O37" s="34">
        <f>N37*AD37</f>
        <v>0</v>
      </c>
      <c r="Q37" s="34">
        <f>P37*AD37</f>
        <v>0</v>
      </c>
      <c r="AC37" s="34">
        <f>B37+D37+F37+H37+J37+L37+N37+P37</f>
        <v>0</v>
      </c>
      <c r="AD37" s="34">
        <v>0.07063000000000001</v>
      </c>
      <c r="AE37" s="62">
        <f>AC37*AD37</f>
        <v>0</v>
      </c>
    </row>
    <row r="38" spans="1:45" ht="12.75">
      <c r="A38" s="4"/>
      <c r="B38" s="4"/>
      <c r="C38" s="34">
        <f>B38*AD38</f>
        <v>0</v>
      </c>
      <c r="D38" s="4"/>
      <c r="E38" s="34">
        <f>D38*AD38</f>
        <v>0</v>
      </c>
      <c r="F38" s="4"/>
      <c r="G38" s="34">
        <f>F38*AD38</f>
        <v>0</v>
      </c>
      <c r="H38" s="4"/>
      <c r="I38" s="34">
        <f>H38*AD38</f>
        <v>0</v>
      </c>
      <c r="J38" s="4"/>
      <c r="K38" s="34">
        <f>J38*AD38</f>
        <v>0</v>
      </c>
      <c r="L38" s="4"/>
      <c r="M38" s="34">
        <f>L38*AD38</f>
        <v>0</v>
      </c>
      <c r="O38" s="34">
        <f>N38*AD38</f>
        <v>0</v>
      </c>
      <c r="Q38" s="34">
        <f>P38*AD38</f>
        <v>0</v>
      </c>
      <c r="AC38" s="34">
        <f>B38+D38+F38+H38+J38+L38+N38+P38</f>
        <v>0</v>
      </c>
      <c r="AD38" s="34">
        <f>(693.63/600000)</f>
        <v>0.00115605</v>
      </c>
      <c r="AE38" s="62">
        <f>AC38*AD38</f>
        <v>0</v>
      </c>
      <c r="AS38" s="59"/>
    </row>
    <row r="39" spans="1:31" ht="12.75">
      <c r="A39"/>
      <c r="B39" s="4"/>
      <c r="C39" s="34">
        <f>B39*AD39</f>
        <v>0</v>
      </c>
      <c r="D39" s="4"/>
      <c r="E39" s="34">
        <f>D39*AD39</f>
        <v>0</v>
      </c>
      <c r="F39" s="4"/>
      <c r="G39" s="34">
        <f>F39*AD39</f>
        <v>0</v>
      </c>
      <c r="H39" s="4"/>
      <c r="I39" s="34">
        <f>H39*AD39</f>
        <v>0</v>
      </c>
      <c r="J39" s="4"/>
      <c r="K39" s="34">
        <f>J39*AD39</f>
        <v>0</v>
      </c>
      <c r="L39" s="4"/>
      <c r="M39" s="34">
        <f>L39*AD39</f>
        <v>0</v>
      </c>
      <c r="O39" s="34">
        <f>N39*AD39</f>
        <v>0</v>
      </c>
      <c r="Q39" s="34">
        <f>P39*AD39</f>
        <v>0</v>
      </c>
      <c r="AC39" s="34">
        <f>B39+D39+F39+H39+J39+L39+N39+P39</f>
        <v>0</v>
      </c>
      <c r="AD39" s="34">
        <f>(693.63/600000)</f>
        <v>0.00115605</v>
      </c>
      <c r="AE39" s="62">
        <f>AC39*AD39</f>
        <v>0</v>
      </c>
    </row>
    <row r="40" spans="1:31" ht="12.75">
      <c r="A40"/>
      <c r="B40" s="4"/>
      <c r="C40" s="34">
        <f>B40*AD40</f>
        <v>0</v>
      </c>
      <c r="D40" s="4"/>
      <c r="E40" s="34">
        <f>D40*AD40</f>
        <v>0</v>
      </c>
      <c r="F40" s="4"/>
      <c r="G40" s="34">
        <f>F40*AD40</f>
        <v>0</v>
      </c>
      <c r="H40" s="4"/>
      <c r="I40" s="34">
        <f>H40*AD40</f>
        <v>0</v>
      </c>
      <c r="J40" s="4"/>
      <c r="K40" s="34">
        <f>J40*AD40</f>
        <v>0</v>
      </c>
      <c r="L40" s="4"/>
      <c r="M40" s="34">
        <f>L40*AD40</f>
        <v>0</v>
      </c>
      <c r="O40" s="34">
        <f>N40*AD40</f>
        <v>0</v>
      </c>
      <c r="Q40" s="34">
        <f>P40*AD40</f>
        <v>0</v>
      </c>
      <c r="AC40" s="34">
        <f>B40+D40+F40+H40+J40+L40+N40+P40</f>
        <v>0</v>
      </c>
      <c r="AD40" s="34">
        <f>(693.63/600000)</f>
        <v>0.00115605</v>
      </c>
      <c r="AE40" s="62">
        <f>AC40*AD40</f>
        <v>0</v>
      </c>
    </row>
    <row r="41" spans="1:31" ht="12.75">
      <c r="A41"/>
      <c r="B41" s="4"/>
      <c r="C41" s="34">
        <f>B41*AD41</f>
        <v>0</v>
      </c>
      <c r="D41" s="4"/>
      <c r="E41" s="34">
        <f>D41*AD41</f>
        <v>0</v>
      </c>
      <c r="F41" s="4"/>
      <c r="G41" s="34">
        <f>F41*AD41</f>
        <v>0</v>
      </c>
      <c r="H41" s="4"/>
      <c r="I41" s="34">
        <f>H41*AD41</f>
        <v>0</v>
      </c>
      <c r="J41" s="4"/>
      <c r="K41" s="34">
        <f>J41*AD41</f>
        <v>0</v>
      </c>
      <c r="L41" s="4"/>
      <c r="M41" s="34">
        <f>L41*AD41</f>
        <v>0</v>
      </c>
      <c r="O41" s="34">
        <f>N41*AD41</f>
        <v>0</v>
      </c>
      <c r="Q41" s="34">
        <f>P41*AD41</f>
        <v>0</v>
      </c>
      <c r="AC41" s="34">
        <f>B41+D41+F41+H41+J41+L41+N41+P41</f>
        <v>0</v>
      </c>
      <c r="AD41" s="34">
        <f>(693.63/600000)</f>
        <v>0.00115605</v>
      </c>
      <c r="AE41" s="62">
        <f>AC41*AD41</f>
        <v>0</v>
      </c>
    </row>
    <row r="42" spans="1:31" ht="12.75">
      <c r="A42"/>
      <c r="B42" s="4"/>
      <c r="C42" s="34">
        <f>B42*AD42</f>
        <v>0</v>
      </c>
      <c r="D42" s="4"/>
      <c r="E42" s="34">
        <f>D42*AD42</f>
        <v>0</v>
      </c>
      <c r="F42" s="4"/>
      <c r="G42" s="34">
        <f>F42*AD42</f>
        <v>0</v>
      </c>
      <c r="H42" s="4"/>
      <c r="I42" s="34">
        <f>H42*AD42</f>
        <v>0</v>
      </c>
      <c r="J42" s="4"/>
      <c r="K42" s="34">
        <f>J42*AD42</f>
        <v>0</v>
      </c>
      <c r="L42" s="4"/>
      <c r="M42" s="34">
        <f>L42*AD42</f>
        <v>0</v>
      </c>
      <c r="O42" s="34">
        <f>N42*AD42</f>
        <v>0</v>
      </c>
      <c r="Q42" s="34">
        <f>P42*AD42</f>
        <v>0</v>
      </c>
      <c r="AC42" s="34">
        <f>B42+D42+F42+H42+J42+L42+N42+P42</f>
        <v>0</v>
      </c>
      <c r="AD42" s="34">
        <f>(693.63/600000)</f>
        <v>0.00115605</v>
      </c>
      <c r="AE42" s="62">
        <f>AC42*AD42</f>
        <v>0</v>
      </c>
    </row>
    <row r="43" spans="1:31" ht="12.75">
      <c r="A43"/>
      <c r="B43" s="4"/>
      <c r="C43" s="34">
        <f>B43*AD43</f>
        <v>0</v>
      </c>
      <c r="D43" s="4"/>
      <c r="E43" s="34">
        <f>D43*AD43</f>
        <v>0</v>
      </c>
      <c r="F43" s="4"/>
      <c r="G43" s="34">
        <f>F43*AD43</f>
        <v>0</v>
      </c>
      <c r="H43" s="4"/>
      <c r="I43" s="34">
        <f>H43*AD43</f>
        <v>0</v>
      </c>
      <c r="K43" s="34">
        <f>J43*AD43</f>
        <v>0</v>
      </c>
      <c r="M43" s="34">
        <f>L43*AD43</f>
        <v>0</v>
      </c>
      <c r="O43" s="34">
        <f>N43*AD43</f>
        <v>0</v>
      </c>
      <c r="Q43" s="34">
        <f>P43*AD43</f>
        <v>0</v>
      </c>
      <c r="AC43" s="34">
        <f>B43+D43+F43+H43+J43+L43+N43+P43</f>
        <v>0</v>
      </c>
      <c r="AD43" s="34">
        <f>(693.63/600000)</f>
        <v>0.00115605</v>
      </c>
      <c r="AE43" s="62">
        <f>AC43*AD43</f>
        <v>0</v>
      </c>
    </row>
    <row r="44" spans="3:31" ht="12.75">
      <c r="C44" s="34">
        <f>B44*AD44</f>
        <v>0</v>
      </c>
      <c r="E44" s="34">
        <f>D44*AD44</f>
        <v>0</v>
      </c>
      <c r="G44" s="34">
        <f>F44*AD44</f>
        <v>0</v>
      </c>
      <c r="I44" s="34">
        <f>H44*AD44</f>
        <v>0</v>
      </c>
      <c r="K44" s="34">
        <f>J44*AD44</f>
        <v>0</v>
      </c>
      <c r="M44" s="34">
        <f>L44*AD44</f>
        <v>0</v>
      </c>
      <c r="O44" s="34">
        <f>N44*AD44</f>
        <v>0</v>
      </c>
      <c r="Q44" s="34">
        <f>P44*AD44</f>
        <v>0</v>
      </c>
      <c r="AC44" s="34">
        <f>B44+D44+F44+H44+J44+L44+N44+P44</f>
        <v>0</v>
      </c>
      <c r="AD44" s="34">
        <f>(693.63/600000)</f>
        <v>0.00115605</v>
      </c>
      <c r="AE44" s="62">
        <f>AC44*AD44</f>
        <v>0</v>
      </c>
    </row>
    <row r="45" spans="3:31" ht="12.75">
      <c r="C45" s="34">
        <f>B45*AD45</f>
        <v>0</v>
      </c>
      <c r="E45" s="34">
        <f>D45*AD45</f>
        <v>0</v>
      </c>
      <c r="G45" s="34">
        <f>F45*AD45</f>
        <v>0</v>
      </c>
      <c r="I45" s="34">
        <f>H45*AD45</f>
        <v>0</v>
      </c>
      <c r="K45" s="34">
        <f>J45*AD45</f>
        <v>0</v>
      </c>
      <c r="M45" s="34">
        <f>L45*AD45</f>
        <v>0</v>
      </c>
      <c r="O45" s="34">
        <f>N45*AD45</f>
        <v>0</v>
      </c>
      <c r="Q45" s="34">
        <f>P45*AD45</f>
        <v>0</v>
      </c>
      <c r="AC45" s="34">
        <f>B45+D45+F45+H45+J45+L45+N45+P45</f>
        <v>0</v>
      </c>
      <c r="AD45" s="34">
        <f>(693.63/600000)</f>
        <v>0.00115605</v>
      </c>
      <c r="AE45" s="62">
        <f>AC45*AD45</f>
        <v>0</v>
      </c>
    </row>
    <row r="46" spans="3:31" ht="12.75">
      <c r="C46" s="34">
        <f>B46*AD46</f>
        <v>0</v>
      </c>
      <c r="E46" s="34">
        <f>D46*AD46</f>
        <v>0</v>
      </c>
      <c r="G46" s="34">
        <f>F46*AD46</f>
        <v>0</v>
      </c>
      <c r="I46" s="34">
        <f>H46*AD46</f>
        <v>0</v>
      </c>
      <c r="K46" s="34">
        <f>J46*AD46</f>
        <v>0</v>
      </c>
      <c r="M46" s="34">
        <f>L46*AD46</f>
        <v>0</v>
      </c>
      <c r="O46" s="34">
        <f>N46*AD46</f>
        <v>0</v>
      </c>
      <c r="Q46" s="34">
        <f>P46*AD46</f>
        <v>0</v>
      </c>
      <c r="AC46" s="34">
        <f>B46+D46+F46+H46+J46+L46+N46+P46</f>
        <v>0</v>
      </c>
      <c r="AD46" s="34">
        <f>(693.63/600000)</f>
        <v>0.00115605</v>
      </c>
      <c r="AE46" s="62">
        <f>AC46*AD46</f>
        <v>0</v>
      </c>
    </row>
    <row r="47" spans="3:31" ht="12.75">
      <c r="C47" s="34">
        <f>B47*AD47</f>
        <v>0</v>
      </c>
      <c r="E47" s="34">
        <f>D47*AD47</f>
        <v>0</v>
      </c>
      <c r="G47" s="34">
        <f>F47*AD47</f>
        <v>0</v>
      </c>
      <c r="I47" s="34">
        <f>H47*AD47</f>
        <v>0</v>
      </c>
      <c r="K47" s="34">
        <f>J47*AD47</f>
        <v>0</v>
      </c>
      <c r="M47" s="34">
        <f>L47*AD47</f>
        <v>0</v>
      </c>
      <c r="O47" s="34">
        <f>N47*AD47</f>
        <v>0</v>
      </c>
      <c r="Q47" s="34">
        <f>P47*AD47</f>
        <v>0</v>
      </c>
      <c r="AC47" s="34">
        <f>B47+D47+F47+H47+J47+L47+N47+P47</f>
        <v>0</v>
      </c>
      <c r="AD47" s="34">
        <f>(693.63/600000)</f>
        <v>0.00115605</v>
      </c>
      <c r="AE47" s="40">
        <f>AC47*AD47</f>
        <v>0</v>
      </c>
    </row>
    <row r="48" spans="3:31" ht="12.75">
      <c r="C48" s="34">
        <f>B48*AD48</f>
        <v>0</v>
      </c>
      <c r="E48" s="34">
        <f>D48*AD48</f>
        <v>0</v>
      </c>
      <c r="G48" s="34">
        <f>F48*AD48</f>
        <v>0</v>
      </c>
      <c r="I48" s="34">
        <f>H48*AD48</f>
        <v>0</v>
      </c>
      <c r="K48" s="34">
        <f>J48*AD48</f>
        <v>0</v>
      </c>
      <c r="M48" s="34">
        <f>L48*AD48</f>
        <v>0</v>
      </c>
      <c r="O48" s="34">
        <f>N48*AD48</f>
        <v>0</v>
      </c>
      <c r="Q48" s="34">
        <f>P48*AD48</f>
        <v>0</v>
      </c>
      <c r="AC48" s="34">
        <f>B48+D48+F48+H48+J48+L48+N48+P48</f>
        <v>0</v>
      </c>
      <c r="AD48" s="34">
        <f>(693.63/600000)</f>
        <v>0.00115605</v>
      </c>
      <c r="AE48" s="40">
        <f>AC48*AD48</f>
        <v>0</v>
      </c>
    </row>
    <row r="49" spans="3:31" ht="12.75">
      <c r="C49" s="34">
        <f>B49*AD49</f>
        <v>0</v>
      </c>
      <c r="E49" s="34">
        <f>D49*AD49</f>
        <v>0</v>
      </c>
      <c r="G49" s="34">
        <f>F49*AD49</f>
        <v>0</v>
      </c>
      <c r="I49" s="34">
        <f>H49*AD49</f>
        <v>0</v>
      </c>
      <c r="K49" s="34">
        <f>J49*AD49</f>
        <v>0</v>
      </c>
      <c r="M49" s="34">
        <f>L49*AD49</f>
        <v>0</v>
      </c>
      <c r="O49" s="34">
        <f>N49*AD49</f>
        <v>0</v>
      </c>
      <c r="Q49" s="34">
        <f>P49*AD49</f>
        <v>0</v>
      </c>
      <c r="AC49" s="34">
        <f>B49+D49+F49+H49+J49+L49+N49</f>
        <v>0</v>
      </c>
      <c r="AD49" s="34">
        <v>0.0061</v>
      </c>
      <c r="AE49" s="40">
        <f>AC49*AD49</f>
        <v>0</v>
      </c>
    </row>
    <row r="50" spans="3:31" ht="12.75">
      <c r="C50" s="34">
        <f>B50*AD50</f>
        <v>0</v>
      </c>
      <c r="E50" s="34">
        <f>D50*AD50</f>
        <v>0</v>
      </c>
      <c r="G50" s="34">
        <f>F50*AD50</f>
        <v>0</v>
      </c>
      <c r="I50" s="34">
        <f>H50*AD50</f>
        <v>0</v>
      </c>
      <c r="K50" s="34">
        <f>J50*AD50</f>
        <v>0</v>
      </c>
      <c r="M50" s="34">
        <f>L50*AD50</f>
        <v>0</v>
      </c>
      <c r="O50" s="34">
        <f>N50*AD50</f>
        <v>0</v>
      </c>
      <c r="Q50" s="34">
        <f>P50*AD50</f>
        <v>0</v>
      </c>
      <c r="AC50" s="34">
        <f>B50+D50+F50+H50+J50+L50+N50</f>
        <v>0</v>
      </c>
      <c r="AD50" s="40">
        <f>539.17/3000000</f>
        <v>0.0001797233333333333</v>
      </c>
      <c r="AE50" s="40">
        <f>AC50*AD50</f>
        <v>0</v>
      </c>
    </row>
    <row r="51" spans="3:31" ht="12.75">
      <c r="C51" s="34">
        <f>B51*AD51</f>
        <v>0</v>
      </c>
      <c r="E51" s="34">
        <f>D51*AD51</f>
        <v>0</v>
      </c>
      <c r="G51" s="34">
        <f>F51*AD51</f>
        <v>0</v>
      </c>
      <c r="I51" s="34">
        <f>H51*AD51</f>
        <v>0</v>
      </c>
      <c r="K51" s="34">
        <f>J51*AD51</f>
        <v>0</v>
      </c>
      <c r="M51" s="34">
        <f>L51*AD51</f>
        <v>0</v>
      </c>
      <c r="O51" s="34">
        <f>N51*AD51</f>
        <v>0</v>
      </c>
      <c r="Q51" s="34">
        <f>P51*AD51</f>
        <v>0</v>
      </c>
      <c r="AC51" s="34">
        <f>B51+D51+F51+H51+J51+L51+N51</f>
        <v>0</v>
      </c>
      <c r="AE51" s="40">
        <f>AC51*AD51</f>
        <v>0</v>
      </c>
    </row>
    <row r="52" spans="3:31" ht="12.75">
      <c r="C52" s="34">
        <f>B52*AD52</f>
        <v>0</v>
      </c>
      <c r="E52" s="34">
        <f>D52*AD52</f>
        <v>0</v>
      </c>
      <c r="G52" s="34">
        <f>F52*AD52</f>
        <v>0</v>
      </c>
      <c r="I52" s="34">
        <f>H52*AD52</f>
        <v>0</v>
      </c>
      <c r="K52" s="34">
        <f>J52*AD52</f>
        <v>0</v>
      </c>
      <c r="M52" s="34">
        <f>L52*AD52</f>
        <v>0</v>
      </c>
      <c r="O52" s="34">
        <f>N52*AD52</f>
        <v>0</v>
      </c>
      <c r="Q52" s="34">
        <f>P52*AD52</f>
        <v>0</v>
      </c>
      <c r="AC52" s="34">
        <f>B52+D52+F52+H52+J52+L52+N52</f>
        <v>0</v>
      </c>
      <c r="AE52" s="40">
        <f>AC52*AD52</f>
        <v>0</v>
      </c>
    </row>
    <row r="53" spans="3:31" ht="12.75">
      <c r="C53" s="34">
        <f>B53*AD53</f>
        <v>0</v>
      </c>
      <c r="E53" s="34">
        <f>D53*AD53</f>
        <v>0</v>
      </c>
      <c r="G53" s="34">
        <f>F53*AD53</f>
        <v>0</v>
      </c>
      <c r="I53" s="34">
        <f>H53*AD53</f>
        <v>0</v>
      </c>
      <c r="K53" s="34">
        <f>J53*AD53</f>
        <v>0</v>
      </c>
      <c r="M53" s="34">
        <f>L53*AD53</f>
        <v>0</v>
      </c>
      <c r="O53" s="34">
        <f>N53*AD53</f>
        <v>0</v>
      </c>
      <c r="Q53" s="34">
        <f>P53*AD53</f>
        <v>0</v>
      </c>
      <c r="AC53" s="34">
        <f>B53+D53+F53+H53+J53+L53+N53</f>
        <v>0</v>
      </c>
      <c r="AE53" s="40">
        <f>AC53*AD53</f>
        <v>0</v>
      </c>
    </row>
    <row r="54" spans="3:31" ht="12.75">
      <c r="C54" s="34">
        <f>B54*AD54</f>
        <v>0</v>
      </c>
      <c r="E54" s="34">
        <f>D54*AD54</f>
        <v>0</v>
      </c>
      <c r="G54" s="34">
        <f>F54*AD54</f>
        <v>0</v>
      </c>
      <c r="I54" s="34">
        <f>H54*AD54</f>
        <v>0</v>
      </c>
      <c r="K54" s="34">
        <f>J54*AD54</f>
        <v>0</v>
      </c>
      <c r="M54" s="34">
        <f>L54*AD54</f>
        <v>0</v>
      </c>
      <c r="O54" s="34">
        <f>N54*AD54</f>
        <v>0</v>
      </c>
      <c r="Q54" s="34">
        <f>P54*AD54</f>
        <v>0</v>
      </c>
      <c r="AC54" s="34">
        <f>B54+D54+F54+H54+J54+L54+N54</f>
        <v>0</v>
      </c>
      <c r="AD54" s="34">
        <v>0.005925</v>
      </c>
      <c r="AE54" s="40">
        <f>AC54*AD54</f>
        <v>0</v>
      </c>
    </row>
    <row r="55" spans="3:31" ht="12.75">
      <c r="C55" s="34">
        <f>B55*AD55</f>
        <v>0</v>
      </c>
      <c r="E55" s="34">
        <f>D55*AD55</f>
        <v>0</v>
      </c>
      <c r="G55" s="34">
        <f>F55*AD55</f>
        <v>0</v>
      </c>
      <c r="I55" s="34">
        <f>H55*AD55</f>
        <v>0</v>
      </c>
      <c r="K55" s="34">
        <f>J55*AD55</f>
        <v>0</v>
      </c>
      <c r="M55" s="34">
        <f>L55*AD55</f>
        <v>0</v>
      </c>
      <c r="O55" s="34">
        <f>N55*AD55</f>
        <v>0</v>
      </c>
      <c r="Q55" s="34">
        <f>P55*AD55</f>
        <v>0</v>
      </c>
      <c r="AC55" s="34">
        <f>B55+D55+F55+H55+J55+L55+N55</f>
        <v>0</v>
      </c>
      <c r="AE55" s="40">
        <f>AC55*AD55</f>
        <v>0</v>
      </c>
    </row>
    <row r="56" spans="3:31" ht="12.75">
      <c r="C56" s="34">
        <f>B56*AD56</f>
        <v>0</v>
      </c>
      <c r="E56" s="34">
        <f>D56*AD56</f>
        <v>0</v>
      </c>
      <c r="G56" s="34">
        <f>F56*AD56</f>
        <v>0</v>
      </c>
      <c r="I56" s="34">
        <f>H56*AD56</f>
        <v>0</v>
      </c>
      <c r="K56" s="34">
        <f>J56*AD56</f>
        <v>0</v>
      </c>
      <c r="M56" s="34">
        <f>L56*AD56</f>
        <v>0</v>
      </c>
      <c r="O56" s="34">
        <f>N56*AD56</f>
        <v>0</v>
      </c>
      <c r="Q56" s="34">
        <f>P56*AD56</f>
        <v>0</v>
      </c>
      <c r="AC56" s="34">
        <f>B56+D56+F56+H56+J56+L56+N56</f>
        <v>0</v>
      </c>
      <c r="AE56" s="40">
        <f>AC56*AD56</f>
        <v>0</v>
      </c>
    </row>
    <row r="57" spans="3:31" ht="12.75">
      <c r="C57" s="34">
        <f>B57*AD57</f>
        <v>0</v>
      </c>
      <c r="E57" s="34">
        <f>D57*AD57</f>
        <v>0</v>
      </c>
      <c r="G57" s="34">
        <f>F57*AD57</f>
        <v>0</v>
      </c>
      <c r="I57" s="34">
        <f>H57*AD57</f>
        <v>0</v>
      </c>
      <c r="K57" s="34">
        <f>J57*AD57</f>
        <v>0</v>
      </c>
      <c r="M57" s="34">
        <f>L57*AD57</f>
        <v>0</v>
      </c>
      <c r="O57" s="34">
        <f>N57*AD57</f>
        <v>0</v>
      </c>
      <c r="Q57" s="34">
        <f>P57*AD57</f>
        <v>0</v>
      </c>
      <c r="AC57" s="34">
        <f>B57+D57+F57+H57+J57+L57+N57</f>
        <v>0</v>
      </c>
      <c r="AE57" s="40">
        <f>AC57*AD57</f>
        <v>0</v>
      </c>
    </row>
    <row r="58" spans="3:29" ht="12.75">
      <c r="C58" s="34">
        <f>B58*AD58</f>
        <v>0</v>
      </c>
      <c r="E58" s="34">
        <f>D58*AD58</f>
        <v>0</v>
      </c>
      <c r="G58" s="34">
        <f>F58*AD58</f>
        <v>0</v>
      </c>
      <c r="I58" s="34">
        <f>H58*AD58</f>
        <v>0</v>
      </c>
      <c r="K58" s="34">
        <f>J58*AD58</f>
        <v>0</v>
      </c>
      <c r="M58" s="34">
        <f>L58*AD58</f>
        <v>0</v>
      </c>
      <c r="O58" s="34">
        <f>N58*AD58</f>
        <v>0</v>
      </c>
      <c r="Q58" s="34">
        <f>P58*AD58</f>
        <v>0</v>
      </c>
      <c r="AC58" s="34">
        <f>B58+D58+F58+H58+J58+L58+N58</f>
        <v>0</v>
      </c>
    </row>
    <row r="59" spans="3:29" ht="12.75">
      <c r="C59" s="34">
        <f>B59*AD59</f>
        <v>0</v>
      </c>
      <c r="E59" s="34">
        <f>D59*AD59</f>
        <v>0</v>
      </c>
      <c r="G59" s="34">
        <f>F59*AD59</f>
        <v>0</v>
      </c>
      <c r="I59" s="34">
        <f>H59*AD59</f>
        <v>0</v>
      </c>
      <c r="K59" s="34">
        <f>J59*AD59</f>
        <v>0</v>
      </c>
      <c r="M59" s="34">
        <f>L59*AD59</f>
        <v>0</v>
      </c>
      <c r="O59" s="34">
        <f>N59*AD59</f>
        <v>0</v>
      </c>
      <c r="Q59" s="34">
        <f>P59*AD59</f>
        <v>0</v>
      </c>
      <c r="AC59" s="34">
        <f>B59+D59+F59+H59+J59+L59+N59</f>
        <v>0</v>
      </c>
    </row>
    <row r="60" spans="3:29" ht="12.75">
      <c r="C60" s="34">
        <f>B60*AD60</f>
        <v>0</v>
      </c>
      <c r="E60" s="34">
        <f>D60*AD60</f>
        <v>0</v>
      </c>
      <c r="G60" s="34">
        <f>F60*AD60</f>
        <v>0</v>
      </c>
      <c r="I60" s="34">
        <f>H60*AD60</f>
        <v>0</v>
      </c>
      <c r="K60" s="34">
        <f>J60*AD60</f>
        <v>0</v>
      </c>
      <c r="M60" s="34">
        <f>L60*AD60</f>
        <v>0</v>
      </c>
      <c r="O60" s="34">
        <f>N60*AD60</f>
        <v>0</v>
      </c>
      <c r="AC60" s="34">
        <f>B60+D60+F60+H60+J60+L60+N60</f>
        <v>0</v>
      </c>
    </row>
    <row r="61" spans="3:29" ht="12.75">
      <c r="C61" s="34">
        <f>B61*AD61</f>
        <v>0</v>
      </c>
      <c r="E61" s="34">
        <f>D61*AD61</f>
        <v>0</v>
      </c>
      <c r="G61" s="34">
        <f>F61*AD61</f>
        <v>0</v>
      </c>
      <c r="I61" s="34">
        <f>H61*AD61</f>
        <v>0</v>
      </c>
      <c r="K61" s="34">
        <f>J61*AD61</f>
        <v>0</v>
      </c>
      <c r="M61" s="34">
        <f>L61*AD61</f>
        <v>0</v>
      </c>
      <c r="O61" s="34">
        <f>N61*AD61</f>
        <v>0</v>
      </c>
      <c r="AC61" s="34">
        <f>B61+D61+F61+H61+J61+L61+N61</f>
        <v>0</v>
      </c>
    </row>
    <row r="62" spans="3:29" ht="12.75">
      <c r="C62" s="34">
        <f>B62*AD62</f>
        <v>0</v>
      </c>
      <c r="E62" s="34">
        <f>D62*AD62</f>
        <v>0</v>
      </c>
      <c r="G62" s="34">
        <f>F62*AD62</f>
        <v>0</v>
      </c>
      <c r="I62" s="34">
        <f>H62*AD62</f>
        <v>0</v>
      </c>
      <c r="K62" s="34">
        <f>J62*AD62</f>
        <v>0</v>
      </c>
      <c r="M62" s="34">
        <f>L62*AD62</f>
        <v>0</v>
      </c>
      <c r="AC62" s="34">
        <f>B62+D62+F62+H62+J62+L62+N62</f>
        <v>0</v>
      </c>
    </row>
    <row r="63" spans="3:29" ht="12.75">
      <c r="C63" s="34">
        <f>B63*AD63</f>
        <v>0</v>
      </c>
      <c r="E63" s="34">
        <f>D63*AD63</f>
        <v>0</v>
      </c>
      <c r="G63" s="34">
        <f>F63*AD63</f>
        <v>0</v>
      </c>
      <c r="I63" s="34">
        <f>H63*AD63</f>
        <v>0</v>
      </c>
      <c r="K63" s="34">
        <f>J63*AD63</f>
        <v>0</v>
      </c>
      <c r="M63" s="34">
        <f>L63*AD63</f>
        <v>0</v>
      </c>
      <c r="AC63" s="34">
        <f>B63+D63+F63+H63+J63+L63+N63</f>
        <v>0</v>
      </c>
    </row>
    <row r="64" spans="3:29" ht="12.75">
      <c r="C64" s="34">
        <f>B64*AD64</f>
        <v>0</v>
      </c>
      <c r="E64" s="34">
        <f>D64*AD64</f>
        <v>0</v>
      </c>
      <c r="G64" s="34">
        <f>F64*AD64</f>
        <v>0</v>
      </c>
      <c r="I64" s="34">
        <f>H64*AD64</f>
        <v>0</v>
      </c>
      <c r="K64" s="34">
        <f>J64*AD64</f>
        <v>0</v>
      </c>
      <c r="M64" s="34">
        <f>L64*AD64</f>
        <v>0</v>
      </c>
      <c r="AC64" s="34">
        <f>B64+D64+F64+H64+J64+L64+N64</f>
        <v>0</v>
      </c>
    </row>
    <row r="65" spans="3:29" ht="12.75">
      <c r="C65" s="34">
        <f>B65*AD65</f>
        <v>0</v>
      </c>
      <c r="E65" s="34">
        <f>D65*AD65</f>
        <v>0</v>
      </c>
      <c r="G65" s="34">
        <f>F65*AD65</f>
        <v>0</v>
      </c>
      <c r="I65" s="34">
        <f>H65*AD65</f>
        <v>0</v>
      </c>
      <c r="K65" s="34">
        <f>J65*AD65</f>
        <v>0</v>
      </c>
      <c r="M65" s="34">
        <f>L65*AD65</f>
        <v>0</v>
      </c>
      <c r="AC65" s="34">
        <f>B65+D65+F65+H65+J65+L65+N65</f>
        <v>0</v>
      </c>
    </row>
    <row r="66" spans="3:29" ht="12.75">
      <c r="C66" s="34">
        <f>B66*AD66</f>
        <v>0</v>
      </c>
      <c r="E66" s="34">
        <f>D66*AD66</f>
        <v>0</v>
      </c>
      <c r="G66" s="34">
        <f>F66*AD66</f>
        <v>0</v>
      </c>
      <c r="I66" s="34">
        <f>H66*AD66</f>
        <v>0</v>
      </c>
      <c r="K66" s="34">
        <f>J66*AD66</f>
        <v>0</v>
      </c>
      <c r="M66" s="34">
        <f>L66*AD66</f>
        <v>0</v>
      </c>
      <c r="AC66" s="34">
        <f>B66+D66+F66+H66+J66+L66+N66</f>
        <v>0</v>
      </c>
    </row>
    <row r="67" spans="3:29" ht="12.75">
      <c r="C67" s="34">
        <f>B67*AD67</f>
        <v>0</v>
      </c>
      <c r="E67" s="34">
        <f>D67*AD67</f>
        <v>0</v>
      </c>
      <c r="G67" s="34">
        <f>F67*AD67</f>
        <v>0</v>
      </c>
      <c r="I67" s="34">
        <f>H67*AD67</f>
        <v>0</v>
      </c>
      <c r="K67" s="34">
        <f>J67*AD67</f>
        <v>0</v>
      </c>
      <c r="M67" s="34">
        <f>L67*AD67</f>
        <v>0</v>
      </c>
      <c r="AC67" s="34">
        <f>B67+D67+F67+H67+J67+L67+N67</f>
        <v>0</v>
      </c>
    </row>
    <row r="68" spans="3:29" ht="12.75">
      <c r="C68" s="34">
        <f>B68*AD68</f>
        <v>0</v>
      </c>
      <c r="E68" s="34">
        <f>D68*AD68</f>
        <v>0</v>
      </c>
      <c r="G68" s="34">
        <f>F68*AD68</f>
        <v>0</v>
      </c>
      <c r="I68" s="34">
        <f>H68*AD68</f>
        <v>0</v>
      </c>
      <c r="K68" s="34">
        <f>J68*AD68</f>
        <v>0</v>
      </c>
      <c r="M68" s="34">
        <f>L68*AD68</f>
        <v>0</v>
      </c>
      <c r="AC68" s="34">
        <f>B68+D68+F68+H68+J68+L68+N68</f>
        <v>0</v>
      </c>
    </row>
    <row r="69" spans="3:29" ht="12.75">
      <c r="C69" s="34">
        <f>B69*AD69</f>
        <v>0</v>
      </c>
      <c r="E69" s="34">
        <f>D69*AD69</f>
        <v>0</v>
      </c>
      <c r="G69" s="34">
        <f>F69*AD69</f>
        <v>0</v>
      </c>
      <c r="I69" s="34">
        <f>H69*AD69</f>
        <v>0</v>
      </c>
      <c r="K69" s="34">
        <f>J69*AD69</f>
        <v>0</v>
      </c>
      <c r="M69" s="34">
        <f>L69*AD69</f>
        <v>0</v>
      </c>
      <c r="AC69" s="34">
        <f>B69+D69+F69+H69+J69+L69+N69</f>
        <v>0</v>
      </c>
    </row>
    <row r="70" spans="3:29" ht="12.75">
      <c r="C70" s="34">
        <f>B70*AD70</f>
        <v>0</v>
      </c>
      <c r="E70" s="34">
        <f>D70*AD70</f>
        <v>0</v>
      </c>
      <c r="G70" s="34">
        <f>F70*AD70</f>
        <v>0</v>
      </c>
      <c r="I70" s="34">
        <f>H70*AD70</f>
        <v>0</v>
      </c>
      <c r="K70" s="34">
        <f>J70*AD70</f>
        <v>0</v>
      </c>
      <c r="M70" s="34">
        <f>L70*AD70</f>
        <v>0</v>
      </c>
      <c r="AC70" s="34">
        <f>B70+D70+F70+H70+J70+L70+N70</f>
        <v>0</v>
      </c>
    </row>
    <row r="71" spans="3:29" ht="12.75">
      <c r="C71" s="34">
        <f>B71*AD71</f>
        <v>0</v>
      </c>
      <c r="E71" s="34">
        <f>D71*AD71</f>
        <v>0</v>
      </c>
      <c r="G71" s="34">
        <f>F71*AD71</f>
        <v>0</v>
      </c>
      <c r="I71" s="34">
        <f>H71*AD71</f>
        <v>0</v>
      </c>
      <c r="K71" s="34">
        <f>J71*AD71</f>
        <v>0</v>
      </c>
      <c r="M71" s="34">
        <f>L71*AD71</f>
        <v>0</v>
      </c>
      <c r="AC71" s="34">
        <f>B71+D71+F71+H71+J71+L71+N71</f>
        <v>0</v>
      </c>
    </row>
    <row r="72" spans="3:29" ht="12.75">
      <c r="C72" s="34">
        <f>B72*AD72</f>
        <v>0</v>
      </c>
      <c r="E72" s="34">
        <f>D72*AD72</f>
        <v>0</v>
      </c>
      <c r="G72" s="34">
        <f>F72*AD72</f>
        <v>0</v>
      </c>
      <c r="I72" s="34">
        <f>H72*AD72</f>
        <v>0</v>
      </c>
      <c r="K72" s="34">
        <f>J72*AD72</f>
        <v>0</v>
      </c>
      <c r="M72" s="34">
        <f>L72*AD72</f>
        <v>0</v>
      </c>
      <c r="AC72" s="34">
        <f>B72+D72+F72+H72+J72+L72+N72</f>
        <v>0</v>
      </c>
    </row>
    <row r="73" spans="3:29" ht="12.75">
      <c r="C73" s="34">
        <f>B73*AD73</f>
        <v>0</v>
      </c>
      <c r="E73" s="34">
        <f>D73*AD73</f>
        <v>0</v>
      </c>
      <c r="G73" s="34">
        <f>F73*AD73</f>
        <v>0</v>
      </c>
      <c r="I73" s="34">
        <f>H73*AD73</f>
        <v>0</v>
      </c>
      <c r="M73" s="34">
        <f>L73*AD73</f>
        <v>0</v>
      </c>
      <c r="AC73" s="34">
        <f>B73+D73+F73+H73+J73+L73+N73</f>
        <v>0</v>
      </c>
    </row>
    <row r="74" spans="3:29" ht="12.75">
      <c r="C74" s="34">
        <f>B74*AD74</f>
        <v>0</v>
      </c>
      <c r="E74" s="34">
        <f>D74*AD74</f>
        <v>0</v>
      </c>
      <c r="G74" s="34">
        <f>F74*AD74</f>
        <v>0</v>
      </c>
      <c r="I74" s="34">
        <f>H74*AD74</f>
        <v>0</v>
      </c>
      <c r="M74" s="34">
        <f>L74*AD74</f>
        <v>0</v>
      </c>
      <c r="AC74" s="34">
        <f>B74+D74+F74+H74+J74+L74+N74</f>
        <v>0</v>
      </c>
    </row>
    <row r="75" spans="3:29" ht="12.75">
      <c r="C75" s="34">
        <f>B75*AD75</f>
        <v>0</v>
      </c>
      <c r="E75" s="34">
        <f>D75*AD75</f>
        <v>0</v>
      </c>
      <c r="G75" s="34">
        <f>F75*AD75</f>
        <v>0</v>
      </c>
      <c r="I75" s="34">
        <f>H75*AD75</f>
        <v>0</v>
      </c>
      <c r="M75" s="34">
        <f>L75*AD75</f>
        <v>0</v>
      </c>
      <c r="AC75" s="34">
        <f>B75+D75+F75+H75+J75+L75+N75</f>
        <v>0</v>
      </c>
    </row>
    <row r="76" spans="3:29" ht="12.75">
      <c r="C76" s="34">
        <f>B76*AD76</f>
        <v>0</v>
      </c>
      <c r="E76" s="34">
        <f>D76*AD76</f>
        <v>0</v>
      </c>
      <c r="G76" s="34">
        <f>F76*AD76</f>
        <v>0</v>
      </c>
      <c r="I76" s="34">
        <f>H76*AD76</f>
        <v>0</v>
      </c>
      <c r="M76" s="34">
        <f>L76*AD76</f>
        <v>0</v>
      </c>
      <c r="AC76" s="34">
        <f>B76+D76+F76+H76+J76+L76+N76</f>
        <v>0</v>
      </c>
    </row>
    <row r="77" spans="3:29" ht="12.75">
      <c r="C77" s="34">
        <f>B77*AD77</f>
        <v>0</v>
      </c>
      <c r="E77" s="34">
        <f>D77*AD77</f>
        <v>0</v>
      </c>
      <c r="G77" s="34">
        <f>F77*AD77</f>
        <v>0</v>
      </c>
      <c r="I77" s="34">
        <f>H77*AD77</f>
        <v>0</v>
      </c>
      <c r="M77" s="34">
        <f>L77*AD77</f>
        <v>0</v>
      </c>
      <c r="AC77" s="34">
        <f>B77+D77+F77+H77+J77+L77+N77</f>
        <v>0</v>
      </c>
    </row>
    <row r="78" spans="3:29" ht="12.75">
      <c r="C78" s="34">
        <f>B78*AD78</f>
        <v>0</v>
      </c>
      <c r="E78" s="34">
        <f>D78*AD78</f>
        <v>0</v>
      </c>
      <c r="G78" s="34">
        <f>F78*AD78</f>
        <v>0</v>
      </c>
      <c r="I78" s="34">
        <f>H78*AD78</f>
        <v>0</v>
      </c>
      <c r="AC78" s="34">
        <f>B78+D78+F78+H78+J78+L78+N78</f>
        <v>0</v>
      </c>
    </row>
    <row r="79" spans="3:29" ht="12.75">
      <c r="C79" s="34">
        <f>B79*AD79</f>
        <v>0</v>
      </c>
      <c r="E79" s="34">
        <f>D79*AD79</f>
        <v>0</v>
      </c>
      <c r="G79" s="34">
        <f>F79*AD79</f>
        <v>0</v>
      </c>
      <c r="I79" s="34">
        <f>H79*AD79</f>
        <v>0</v>
      </c>
      <c r="AC79" s="34">
        <f>B79+D79+F79+H79+J79+L79+N79</f>
        <v>0</v>
      </c>
    </row>
    <row r="80" spans="3:29" ht="12.75">
      <c r="C80" s="34">
        <f>B80*AD80</f>
        <v>0</v>
      </c>
      <c r="E80" s="34">
        <f>D80*AD80</f>
        <v>0</v>
      </c>
      <c r="G80" s="34">
        <f>F80*AD80</f>
        <v>0</v>
      </c>
      <c r="I80" s="34">
        <f>H80*AD80</f>
        <v>0</v>
      </c>
      <c r="AC80" s="34">
        <f>B80+D80+F80+H80+J80+L80+N80</f>
        <v>0</v>
      </c>
    </row>
    <row r="81" spans="3:29" ht="12.75">
      <c r="C81" s="34">
        <f>B81*AD81</f>
        <v>0</v>
      </c>
      <c r="E81" s="34">
        <f>D81*AD81</f>
        <v>0</v>
      </c>
      <c r="G81" s="34">
        <f>F81*AD81</f>
        <v>0</v>
      </c>
      <c r="I81" s="34">
        <f>H81*AD81</f>
        <v>0</v>
      </c>
      <c r="AC81" s="34">
        <f>B81+D81+F81+H81+J81+L81+N81</f>
        <v>0</v>
      </c>
    </row>
    <row r="82" spans="3:29" ht="12.75">
      <c r="C82" s="34">
        <f>B82*AD82</f>
        <v>0</v>
      </c>
      <c r="E82" s="34">
        <f>D82*AD82</f>
        <v>0</v>
      </c>
      <c r="G82" s="34">
        <f>F82*AD82</f>
        <v>0</v>
      </c>
      <c r="I82" s="34">
        <f>H82*AD82</f>
        <v>0</v>
      </c>
      <c r="AC82" s="34">
        <f>B82+D82+F82+H82+J82+L82+N82</f>
        <v>0</v>
      </c>
    </row>
    <row r="83" spans="3:29" ht="12.75">
      <c r="C83" s="34">
        <f>B83*AD83</f>
        <v>0</v>
      </c>
      <c r="E83" s="34">
        <f>D83*AD83</f>
        <v>0</v>
      </c>
      <c r="AC83" s="34">
        <f>B83+D83+F83+H83+J83+L83+N83</f>
        <v>0</v>
      </c>
    </row>
    <row r="84" spans="3:29" ht="12.75">
      <c r="C84" s="34">
        <f>B84*AD84</f>
        <v>0</v>
      </c>
      <c r="E84" s="34">
        <f>D84*AD84</f>
        <v>0</v>
      </c>
      <c r="AC84" s="34">
        <f>B84+D84+F84+H84+J84+L84+N84</f>
        <v>0</v>
      </c>
    </row>
    <row r="85" spans="3:29" ht="12.75">
      <c r="C85" s="34">
        <f>B85*AD85</f>
        <v>0</v>
      </c>
      <c r="E85" s="34">
        <f>D85*AD85</f>
        <v>0</v>
      </c>
      <c r="AC85" s="34">
        <f>B85+D85+F85+H85+J85+L85+N85</f>
        <v>0</v>
      </c>
    </row>
    <row r="86" spans="3:29" ht="12.75">
      <c r="C86" s="34">
        <f>B86*AD86</f>
        <v>0</v>
      </c>
      <c r="E86" s="34">
        <f>D86*AD86</f>
        <v>0</v>
      </c>
      <c r="AC86" s="34">
        <f>B86+D86+F86+H86+J86+L86+N86</f>
        <v>0</v>
      </c>
    </row>
    <row r="87" spans="3:29" ht="12.75">
      <c r="C87" s="34">
        <f>B87*AD87</f>
        <v>0</v>
      </c>
      <c r="E87" s="34">
        <f>D87*AD87</f>
        <v>0</v>
      </c>
      <c r="AC87" s="34">
        <f>B87+D87+F87+H87+J87+L87+N87</f>
        <v>0</v>
      </c>
    </row>
    <row r="88" spans="3:29" ht="12.75">
      <c r="C88" s="34">
        <f>B88*AD88</f>
        <v>0</v>
      </c>
      <c r="E88" s="34">
        <f>D88*AD88</f>
        <v>0</v>
      </c>
      <c r="AC88" s="34">
        <f>B88+D88+F88+H88+J88+L88+N88</f>
        <v>0</v>
      </c>
    </row>
    <row r="89" spans="3:29" ht="12.75">
      <c r="C89" s="34">
        <f>B89*AD89</f>
        <v>0</v>
      </c>
      <c r="E89" s="34">
        <f>D89*AD89</f>
        <v>0</v>
      </c>
      <c r="AC89" s="34">
        <f>B89+D89+F89+H89+J89+L89+N89</f>
        <v>0</v>
      </c>
    </row>
    <row r="90" spans="3:29" ht="12.75">
      <c r="C90" s="34">
        <f>B90*AD90</f>
        <v>0</v>
      </c>
      <c r="E90" s="34">
        <f>D90*AD90</f>
        <v>0</v>
      </c>
      <c r="AC90" s="34">
        <f>B90+D90+F90+H90+J90+L90+N90</f>
        <v>0</v>
      </c>
    </row>
    <row r="91" spans="3:29" ht="12.75">
      <c r="C91" s="34">
        <f>B91*AD91</f>
        <v>0</v>
      </c>
      <c r="E91" s="34">
        <f>D91*AD91</f>
        <v>0</v>
      </c>
      <c r="AC91" s="34">
        <f>B91+D91+F91+H91+J91+L91+N91</f>
        <v>0</v>
      </c>
    </row>
    <row r="92" spans="3:29" ht="12.75">
      <c r="C92" s="34">
        <f>B92*AD92</f>
        <v>0</v>
      </c>
      <c r="E92" s="34">
        <f>D92*AD92</f>
        <v>0</v>
      </c>
      <c r="AC92" s="34">
        <f>B92+D92+F92+H92+J92+L92+N92</f>
        <v>0</v>
      </c>
    </row>
    <row r="93" spans="3:29" ht="12.75">
      <c r="C93" s="34">
        <f>B93*AD93</f>
        <v>0</v>
      </c>
      <c r="E93" s="34">
        <f>D93*AD93</f>
        <v>0</v>
      </c>
      <c r="AC93" s="34">
        <f>B93+D93+F93+H93+J93+L93+N93</f>
        <v>0</v>
      </c>
    </row>
    <row r="94" spans="3:29" ht="12.75">
      <c r="C94" s="34">
        <f>B94*AD94</f>
        <v>0</v>
      </c>
      <c r="E94" s="34">
        <f>D94*AD94</f>
        <v>0</v>
      </c>
      <c r="AC94" s="34">
        <f>B94+D94+F94+H94+J94+L94+N94</f>
        <v>0</v>
      </c>
    </row>
    <row r="95" spans="3:29" ht="12.75">
      <c r="C95" s="34">
        <f>B95*AD95</f>
        <v>0</v>
      </c>
      <c r="E95" s="34">
        <f>D95*AD95</f>
        <v>0</v>
      </c>
      <c r="AC95" s="34">
        <f>B95+D95+F95+H95+J95+L95+N95</f>
        <v>0</v>
      </c>
    </row>
    <row r="96" spans="3:29" ht="12.75">
      <c r="C96" s="34">
        <f>B96*AD96</f>
        <v>0</v>
      </c>
      <c r="E96" s="34">
        <f>D96*AD96</f>
        <v>0</v>
      </c>
      <c r="AC96" s="34">
        <f>B96+D96+F96+H96+J96+L96+N96</f>
        <v>0</v>
      </c>
    </row>
    <row r="97" spans="3:29" ht="12.75">
      <c r="C97" s="34">
        <f>B97*AD97</f>
        <v>0</v>
      </c>
      <c r="AC97" s="34">
        <f>B97+D97+F97+H97+J97+L97+N97</f>
        <v>0</v>
      </c>
    </row>
    <row r="98" spans="3:29" ht="12.75">
      <c r="C98" s="34">
        <f>B98*AD98</f>
        <v>0</v>
      </c>
      <c r="AC98" s="34">
        <f>B98+D98+F98+H98+J98+L98+N98</f>
        <v>0</v>
      </c>
    </row>
    <row r="99" spans="3:29" ht="12.75">
      <c r="C99" s="34">
        <f>B99*AD99</f>
        <v>0</v>
      </c>
      <c r="AC99" s="34">
        <f>B99+D99+F99+H99+J99+L99+N99</f>
        <v>0</v>
      </c>
    </row>
    <row r="100" spans="3:29" ht="12.75">
      <c r="C100" s="34">
        <f>B100*AD100</f>
        <v>0</v>
      </c>
      <c r="AC100" s="34">
        <f>B100+D100+F100+H100+J100+L100+N100</f>
        <v>0</v>
      </c>
    </row>
    <row r="101" spans="3:29" ht="12.75">
      <c r="C101" s="34">
        <f>B101*AD101</f>
        <v>0</v>
      </c>
      <c r="AC101" s="34">
        <f>B101+D101+F101+H101+J101+L101+N101</f>
        <v>0</v>
      </c>
    </row>
    <row r="102" spans="3:29" ht="12.75">
      <c r="C102" s="34">
        <f>B102*AD102</f>
        <v>0</v>
      </c>
      <c r="AC102" s="34">
        <f>B102+D102+F102+H102+J102+L102+N102</f>
        <v>0</v>
      </c>
    </row>
    <row r="103" spans="3:29" ht="12.75">
      <c r="C103" s="34">
        <f>B103*AD103</f>
        <v>0</v>
      </c>
      <c r="AC103" s="34">
        <f>B103+D103+F103+H103+J103+L103+N103</f>
        <v>0</v>
      </c>
    </row>
    <row r="104" spans="3:29" ht="12.75">
      <c r="C104" s="34">
        <f>B104*AD104</f>
        <v>0</v>
      </c>
      <c r="AC104" s="34">
        <f>B104+D104+F104+H104+J104+L104+N104</f>
        <v>0</v>
      </c>
    </row>
    <row r="105" spans="3:29" ht="12.75">
      <c r="C105" s="34">
        <f>B105*AD105</f>
        <v>0</v>
      </c>
      <c r="AC105" s="34">
        <f>B105+D105+F105+H105+J105+L105+N105</f>
        <v>0</v>
      </c>
    </row>
    <row r="106" spans="3:29" ht="12.75">
      <c r="C106" s="34">
        <f>B106*AD106</f>
        <v>0</v>
      </c>
      <c r="AC106" s="34">
        <f>B106+D106+F106+H106+J106+L106+N106</f>
        <v>0</v>
      </c>
    </row>
    <row r="107" spans="3:29" ht="12.75">
      <c r="C107" s="34">
        <f>B107*AD107</f>
        <v>0</v>
      </c>
      <c r="AC107" s="34">
        <f>B107+D107+F107+H107+J107+L107+N107</f>
        <v>0</v>
      </c>
    </row>
    <row r="108" spans="3:29" ht="12.75">
      <c r="C108" s="34">
        <f>B108*AD108</f>
        <v>0</v>
      </c>
      <c r="AC108" s="34">
        <f>B108+D108+F108+H108+J108+L108+N108</f>
        <v>0</v>
      </c>
    </row>
    <row r="109" spans="3:29" ht="12.75">
      <c r="C109" s="34">
        <f>B109*AD109</f>
        <v>0</v>
      </c>
      <c r="AC109" s="34">
        <f>B109+D109+F109+H109+J109+L109+N109</f>
        <v>0</v>
      </c>
    </row>
    <row r="110" spans="3:29" ht="12.75">
      <c r="C110" s="34">
        <f>B110*AD110</f>
        <v>0</v>
      </c>
      <c r="AC110" s="34">
        <f>B110+D110+F110+H110+J110+L110+N110</f>
        <v>0</v>
      </c>
    </row>
    <row r="111" spans="3:29" ht="12.75">
      <c r="C111" s="34">
        <f>B111*AD111</f>
        <v>0</v>
      </c>
      <c r="AC111" s="34">
        <f>B111+D111+F111+H111+J111+L111+N111</f>
        <v>0</v>
      </c>
    </row>
    <row r="112" spans="3:29" ht="12.75">
      <c r="C112" s="34">
        <f>B112*AD112</f>
        <v>0</v>
      </c>
      <c r="AC112" s="34">
        <f>B112+D112+F112+H112+J112+L112+N112</f>
        <v>0</v>
      </c>
    </row>
    <row r="113" spans="3:29" ht="12.75">
      <c r="C113" s="34">
        <f>B113*AD113</f>
        <v>0</v>
      </c>
      <c r="AC113" s="34">
        <f>B113+D113+F113+H113+J113+L113+N113</f>
        <v>0</v>
      </c>
    </row>
    <row r="114" spans="3:29" ht="12.75">
      <c r="C114" s="34">
        <f>B114*AD114</f>
        <v>0</v>
      </c>
      <c r="AC114" s="34">
        <f>B114+D114+F114+H114+J114+L114+N114</f>
        <v>0</v>
      </c>
    </row>
    <row r="115" spans="3:29" ht="12.75">
      <c r="C115" s="34">
        <f>B115*AD115</f>
        <v>0</v>
      </c>
      <c r="AC115" s="34">
        <f>B115+D115+F115+H115+J115+L115+N115</f>
        <v>0</v>
      </c>
    </row>
    <row r="116" spans="3:29" ht="12.75">
      <c r="C116" s="34">
        <f>B116*AD116</f>
        <v>0</v>
      </c>
      <c r="AC116" s="34">
        <f>B116+D116+F116+H116+J116+L116+N116</f>
        <v>0</v>
      </c>
    </row>
    <row r="117" spans="3:29" ht="12.75">
      <c r="C117" s="34">
        <f>B117*AD117</f>
        <v>0</v>
      </c>
      <c r="AC117" s="34">
        <f>B117+D117+F117+H117+J117+L117+N117</f>
        <v>0</v>
      </c>
    </row>
    <row r="118" spans="3:29" ht="12.75">
      <c r="C118" s="34">
        <f>B118*AD118</f>
        <v>0</v>
      </c>
      <c r="AC118" s="34">
        <f>B118+D118+F118+H118+J118+L118+N118</f>
        <v>0</v>
      </c>
    </row>
    <row r="119" spans="3:29" ht="12.75">
      <c r="C119" s="34">
        <f>B119*AD119</f>
        <v>0</v>
      </c>
      <c r="AC119" s="34">
        <f>B119+D119+F119+H119+J119+L119+N119</f>
        <v>0</v>
      </c>
    </row>
    <row r="120" spans="3:29" ht="12.75">
      <c r="C120" s="34">
        <f>B120*AD120</f>
        <v>0</v>
      </c>
      <c r="AC120" s="34">
        <f>B120+D120+F120+H120+J120+L120+N120</f>
        <v>0</v>
      </c>
    </row>
    <row r="121" spans="3:29" ht="12.75">
      <c r="C121" s="34">
        <f>B121*AD121</f>
        <v>0</v>
      </c>
      <c r="AC121" s="34">
        <f>B121+D121+F121+H121+J121+L121+N121</f>
        <v>0</v>
      </c>
    </row>
    <row r="122" spans="3:29" ht="12.75">
      <c r="C122" s="34">
        <f>B122*AD122</f>
        <v>0</v>
      </c>
      <c r="AC122" s="34">
        <f>B122+D122+F122+H122+J122+L122+N122</f>
        <v>0</v>
      </c>
    </row>
    <row r="123" spans="3:29" ht="12.75">
      <c r="C123" s="34">
        <f>B123*AD123</f>
        <v>0</v>
      </c>
      <c r="AC123" s="34">
        <f>B123+D123+F123+H123+J123+L123+N123</f>
        <v>0</v>
      </c>
    </row>
    <row r="124" spans="3:29" ht="12.75">
      <c r="C124" s="34">
        <f>B124*AD124</f>
        <v>0</v>
      </c>
      <c r="AC124" s="34">
        <f>B124+D124+F124+H124+J124+L124+N124</f>
        <v>0</v>
      </c>
    </row>
    <row r="125" spans="3:29" ht="12.75">
      <c r="C125" s="34">
        <f>B125*AD125</f>
        <v>0</v>
      </c>
      <c r="AC125" s="34">
        <f>B125+D125+F125+H125+J125+L125+N125</f>
        <v>0</v>
      </c>
    </row>
    <row r="126" spans="3:29" ht="12.75">
      <c r="C126" s="34">
        <f>B126*AD126</f>
        <v>0</v>
      </c>
      <c r="AC126" s="34">
        <f>B126+D126+F126+H126+J126+L126+N126</f>
        <v>0</v>
      </c>
    </row>
    <row r="127" spans="3:29" ht="12.75">
      <c r="C127" s="34">
        <f>B127*AD127</f>
        <v>0</v>
      </c>
      <c r="AC127" s="34">
        <f>B127+D127+F127+H127+J127+L127+N127</f>
        <v>0</v>
      </c>
    </row>
    <row r="128" spans="3:29" ht="12.75">
      <c r="C128" s="34">
        <f>B128*AD128</f>
        <v>0</v>
      </c>
      <c r="AC128" s="34">
        <f>B128+D128+F128+H128+J128+L128+N128</f>
        <v>0</v>
      </c>
    </row>
    <row r="129" spans="3:29" ht="12.75">
      <c r="C129" s="34">
        <f>B129*AD129</f>
        <v>0</v>
      </c>
      <c r="AC129" s="34">
        <f>B129+D129+F129+H129+J129+L129+N129</f>
        <v>0</v>
      </c>
    </row>
    <row r="130" spans="3:29" ht="12.75">
      <c r="C130" s="34">
        <f>B130*AD130</f>
        <v>0</v>
      </c>
      <c r="AC130" s="34">
        <f>B130+D130+F130+H130+J130+L130+N130</f>
        <v>0</v>
      </c>
    </row>
    <row r="131" spans="3:29" ht="12.75">
      <c r="C131" s="34">
        <f>B131*AD131</f>
        <v>0</v>
      </c>
      <c r="AC131" s="34">
        <f>B131+D131+F131+H131+J131+L131+N131</f>
        <v>0</v>
      </c>
    </row>
    <row r="132" spans="3:29" ht="12.75">
      <c r="C132" s="34">
        <f>B132*AD132</f>
        <v>0</v>
      </c>
      <c r="AC132" s="34">
        <f>B132+D132+F132+H132+J132+L132+N132</f>
        <v>0</v>
      </c>
    </row>
    <row r="133" ht="12.75">
      <c r="AC133" s="34">
        <f>B133+D133+F133+H133+J133+L133+N133</f>
        <v>0</v>
      </c>
    </row>
    <row r="134" ht="12.75">
      <c r="AC134" s="34">
        <f>B134+D134+F134+H134+J134+L134+N134</f>
        <v>0</v>
      </c>
    </row>
    <row r="135" ht="12.75">
      <c r="AC135" s="34">
        <f>B135+D135+F135+H135+J135+L135+N135</f>
        <v>0</v>
      </c>
    </row>
  </sheetData>
  <sheetProtection selectLockedCells="1" selectUnlockedCells="1"/>
  <printOptions/>
  <pageMargins left="0" right="0" top="0.1388888888888889" bottom="0.1388888888888889" header="0" footer="0"/>
  <pageSetup horizontalDpi="300" verticalDpi="300" orientation="portrait" paperSize="9"/>
  <headerFooter alignWithMargins="0">
    <oddHeader>&amp;C&amp;10&amp;A</oddHeader>
    <oddFooter>&amp;C&amp;10Page &amp;P</oddFooter>
  </headerFooter>
  <legacyDrawing r:id="rId2"/>
</worksheet>
</file>

<file path=xl/worksheets/sheet5.xml><?xml version="1.0" encoding="utf-8"?>
<worksheet xmlns="http://schemas.openxmlformats.org/spreadsheetml/2006/main" xmlns:r="http://schemas.openxmlformats.org/officeDocument/2006/relationships">
  <dimension ref="A1:BC135"/>
  <sheetViews>
    <sheetView zoomScale="95" zoomScaleNormal="95" workbookViewId="0" topLeftCell="AC1">
      <selection activeCell="AP31" sqref="AP31"/>
    </sheetView>
  </sheetViews>
  <sheetFormatPr defaultColWidth="11.00390625" defaultRowHeight="14.25"/>
  <cols>
    <col min="1" max="1" width="13.125" style="34" customWidth="1"/>
    <col min="2" max="2" width="9.00390625" style="34" customWidth="1"/>
    <col min="3" max="3" width="11.25390625" style="34" customWidth="1"/>
    <col min="4" max="4" width="13.125" style="34" customWidth="1"/>
    <col min="5" max="5" width="9.875" style="34" customWidth="1"/>
    <col min="6" max="6" width="11.00390625" style="34" customWidth="1"/>
    <col min="7" max="8" width="8.125" style="34" customWidth="1"/>
    <col min="9" max="9" width="10.125" style="34" customWidth="1"/>
    <col min="10" max="10" width="9.125" style="34" customWidth="1"/>
    <col min="11" max="11" width="11.00390625" style="34" customWidth="1"/>
    <col min="12" max="12" width="12.25390625" style="34" customWidth="1"/>
    <col min="13" max="13" width="12.875" style="34" customWidth="1"/>
    <col min="14" max="18" width="7.75390625" style="34" customWidth="1"/>
    <col min="19" max="19" width="15.25390625" style="34" customWidth="1"/>
    <col min="20" max="20" width="5.00390625" style="34" customWidth="1"/>
    <col min="21" max="21" width="10.625" style="34" customWidth="1"/>
    <col min="22" max="22" width="6.875" style="34" customWidth="1"/>
    <col min="23" max="23" width="3.25390625" style="34" customWidth="1"/>
    <col min="24" max="24" width="8.375" style="34" customWidth="1"/>
    <col min="25" max="26" width="6.50390625" style="34" customWidth="1"/>
    <col min="27" max="27" width="7.00390625" style="34" customWidth="1"/>
    <col min="28" max="28" width="29.875" style="34" customWidth="1"/>
    <col min="29" max="29" width="15.25390625" style="34" customWidth="1"/>
    <col min="30" max="30" width="8.125" style="34" customWidth="1"/>
    <col min="31" max="31" width="9.00390625" style="40" customWidth="1"/>
    <col min="32" max="32" width="1.4921875" style="34" customWidth="1"/>
    <col min="33" max="33" width="2.75390625" style="34" customWidth="1"/>
    <col min="34" max="34" width="1.875" style="34" customWidth="1"/>
    <col min="35" max="35" width="16.50390625" style="34" customWidth="1"/>
    <col min="36" max="36" width="8.25390625" style="34" customWidth="1"/>
    <col min="37" max="37" width="1.4921875" style="34" customWidth="1"/>
    <col min="38" max="38" width="16.875" style="34" customWidth="1"/>
    <col min="39" max="39" width="14.25390625" style="34" customWidth="1"/>
    <col min="40" max="40" width="2.00390625" style="34" customWidth="1"/>
    <col min="41" max="41" width="22.125" style="34" customWidth="1"/>
    <col min="42" max="42" width="10.625" style="34" customWidth="1"/>
    <col min="43" max="43" width="2.375" style="34" customWidth="1"/>
    <col min="44" max="44" width="15.125" style="34" customWidth="1"/>
    <col min="45" max="45" width="10.625" style="34" customWidth="1"/>
    <col min="46" max="46" width="2.625" style="34" customWidth="1"/>
    <col min="47" max="47" width="14.625" style="34" customWidth="1"/>
    <col min="48" max="48" width="7.375" style="34" customWidth="1"/>
    <col min="49" max="49" width="10.625" style="34" customWidth="1"/>
    <col min="50" max="50" width="11.875" style="34" customWidth="1"/>
    <col min="51" max="51" width="13.875" style="34" customWidth="1"/>
    <col min="52" max="53" width="10.625" style="34" customWidth="1"/>
    <col min="54" max="54" width="13.50390625" style="34" customWidth="1"/>
    <col min="55" max="16384" width="10.625" style="34" customWidth="1"/>
  </cols>
  <sheetData>
    <row r="1" spans="1:33" ht="14.25">
      <c r="A1" s="59" t="s">
        <v>119</v>
      </c>
      <c r="B1" s="34" t="s">
        <v>120</v>
      </c>
      <c r="C1" s="34" t="s">
        <v>121</v>
      </c>
      <c r="D1" s="34" t="s">
        <v>122</v>
      </c>
      <c r="E1" s="34" t="s">
        <v>123</v>
      </c>
      <c r="F1" s="34" t="s">
        <v>124</v>
      </c>
      <c r="G1" s="34" t="s">
        <v>125</v>
      </c>
      <c r="H1" s="34" t="s">
        <v>126</v>
      </c>
      <c r="I1" s="34" t="s">
        <v>127</v>
      </c>
      <c r="J1" s="34" t="s">
        <v>128</v>
      </c>
      <c r="K1" s="34" t="s">
        <v>129</v>
      </c>
      <c r="L1" s="34" t="s">
        <v>130</v>
      </c>
      <c r="M1" s="34" t="s">
        <v>131</v>
      </c>
      <c r="N1" s="34" t="s">
        <v>63</v>
      </c>
      <c r="O1" s="34" t="s">
        <v>132</v>
      </c>
      <c r="P1" s="34" t="s">
        <v>62</v>
      </c>
      <c r="Q1" s="34" t="s">
        <v>133</v>
      </c>
      <c r="R1" s="34" t="s">
        <v>134</v>
      </c>
      <c r="S1" s="34" t="s">
        <v>135</v>
      </c>
      <c r="T1" s="34" t="s">
        <v>136</v>
      </c>
      <c r="U1" s="34" t="s">
        <v>137</v>
      </c>
      <c r="V1" s="34" t="s">
        <v>138</v>
      </c>
      <c r="W1" s="34" t="s">
        <v>139</v>
      </c>
      <c r="X1" s="34" t="s">
        <v>140</v>
      </c>
      <c r="Y1" s="34" t="s">
        <v>141</v>
      </c>
      <c r="Z1" s="34" t="s">
        <v>142</v>
      </c>
      <c r="AA1" s="34" t="s">
        <v>143</v>
      </c>
      <c r="AC1" s="34" t="s">
        <v>144</v>
      </c>
      <c r="AD1" s="34" t="s">
        <v>145</v>
      </c>
      <c r="AE1" s="60" t="s">
        <v>146</v>
      </c>
      <c r="AG1" s="34" t="s">
        <v>147</v>
      </c>
    </row>
    <row r="2" spans="1:55" ht="14.25">
      <c r="A2" s="61">
        <v>43525</v>
      </c>
      <c r="B2" s="4"/>
      <c r="C2" s="34">
        <f>B2*AD2</f>
        <v>0</v>
      </c>
      <c r="D2" s="4">
        <f>20000+131000</f>
        <v>151000</v>
      </c>
      <c r="E2" s="34">
        <f>D2*AD2</f>
        <v>27.13822333333333</v>
      </c>
      <c r="F2" s="4">
        <v>70000</v>
      </c>
      <c r="G2" s="34">
        <f>F2*AD2</f>
        <v>12.580633333333331</v>
      </c>
      <c r="H2" s="4"/>
      <c r="I2" s="34">
        <f>H2*AD2</f>
        <v>0</v>
      </c>
      <c r="J2" s="4"/>
      <c r="K2" s="34">
        <f>J2*AD2</f>
        <v>0</v>
      </c>
      <c r="L2" s="4">
        <v>200000</v>
      </c>
      <c r="M2" s="34">
        <f>L2*AD2</f>
        <v>35.94466666666666</v>
      </c>
      <c r="O2" s="34">
        <f>N2*AD2</f>
        <v>0</v>
      </c>
      <c r="Q2" s="34">
        <f>P2*AD2</f>
        <v>0</v>
      </c>
      <c r="R2" s="4"/>
      <c r="S2" s="4"/>
      <c r="T2" s="4" t="s">
        <v>148</v>
      </c>
      <c r="U2" s="4"/>
      <c r="V2" s="4"/>
      <c r="W2" s="4"/>
      <c r="X2" s="4"/>
      <c r="Y2" s="4"/>
      <c r="Z2" s="4"/>
      <c r="AA2" s="4"/>
      <c r="AB2" s="4" t="s">
        <v>198</v>
      </c>
      <c r="AC2" s="34">
        <f>B2+D2+F2+H2+J2+L2+N2+P2</f>
        <v>421000</v>
      </c>
      <c r="AD2" s="62">
        <f>539.17/3000000</f>
        <v>0.0001797233333333333</v>
      </c>
      <c r="AE2" s="62">
        <f>AC2*AD2</f>
        <v>75.66352333333332</v>
      </c>
      <c r="AG2" s="34">
        <v>26</v>
      </c>
      <c r="AI2" s="34" t="s">
        <v>150</v>
      </c>
      <c r="AJ2" s="60">
        <f>SUM($AE$2:$AE$994)</f>
        <v>3856.3621639999983</v>
      </c>
      <c r="AL2" s="34" t="s">
        <v>151</v>
      </c>
      <c r="AM2" s="63">
        <f>$AJ$2/$AJ$5</f>
        <v>124.39877948387091</v>
      </c>
      <c r="AO2" s="34" t="s">
        <v>152</v>
      </c>
      <c r="AP2" s="34">
        <f>COUNTBLANK(L2:L40)-COUNTBLANK(A2:A40)</f>
        <v>2</v>
      </c>
      <c r="AQ2" s="64"/>
      <c r="AR2" s="64"/>
      <c r="AS2" s="64"/>
      <c r="AT2" s="64"/>
      <c r="AU2" s="64"/>
      <c r="AV2" s="64"/>
      <c r="AW2" s="64"/>
      <c r="AX2" s="64"/>
      <c r="AY2" s="64"/>
      <c r="AZ2" s="64"/>
      <c r="BB2" s="41"/>
      <c r="BC2" s="41"/>
    </row>
    <row r="3" spans="1:55" ht="14.25">
      <c r="A3" s="2">
        <v>43526</v>
      </c>
      <c r="B3" s="4">
        <f>100000+50000</f>
        <v>150000</v>
      </c>
      <c r="C3" s="34">
        <f>B3*AD3</f>
        <v>26.958499999999997</v>
      </c>
      <c r="D3" s="4">
        <v>172000</v>
      </c>
      <c r="E3" s="34">
        <f>D3*AD3</f>
        <v>30.91241333333333</v>
      </c>
      <c r="F3" s="4">
        <v>70000</v>
      </c>
      <c r="G3" s="34">
        <f>F3*AD3</f>
        <v>12.580633333333331</v>
      </c>
      <c r="H3" s="4">
        <f>100000</f>
        <v>100000</v>
      </c>
      <c r="I3" s="34">
        <f>H3*AD3</f>
        <v>17.97233333333333</v>
      </c>
      <c r="J3" s="4">
        <f>10000+15000</f>
        <v>25000</v>
      </c>
      <c r="K3" s="34">
        <f>J3*AD3</f>
        <v>4.493083333333333</v>
      </c>
      <c r="L3" s="4">
        <v>200000</v>
      </c>
      <c r="M3" s="34">
        <f>L3*AD3</f>
        <v>35.94466666666666</v>
      </c>
      <c r="O3" s="34">
        <f>N3*AD3</f>
        <v>0</v>
      </c>
      <c r="Q3" s="34">
        <f>P3*AD3</f>
        <v>0</v>
      </c>
      <c r="R3" s="4"/>
      <c r="S3" s="4"/>
      <c r="T3" s="4" t="s">
        <v>148</v>
      </c>
      <c r="U3" s="4"/>
      <c r="V3" s="4"/>
      <c r="W3" s="4"/>
      <c r="X3" s="4"/>
      <c r="Y3" s="4"/>
      <c r="Z3" s="4"/>
      <c r="AA3" s="4"/>
      <c r="AB3" s="4" t="s">
        <v>198</v>
      </c>
      <c r="AC3" s="34">
        <f>B3+D3+F3+H3+J3+L3+N3+P3</f>
        <v>717000</v>
      </c>
      <c r="AD3" s="62">
        <f>539.17/3000000</f>
        <v>0.0001797233333333333</v>
      </c>
      <c r="AE3" s="62">
        <f>AC3*AD3</f>
        <v>128.86163</v>
      </c>
      <c r="AG3" s="34">
        <v>26</v>
      </c>
      <c r="AI3" s="65"/>
      <c r="AL3" s="65"/>
      <c r="AM3" s="63"/>
      <c r="AO3" s="34" t="s">
        <v>156</v>
      </c>
      <c r="AP3" s="34">
        <f>COUNT(L2:L36)</f>
        <v>29</v>
      </c>
      <c r="AR3" s="64"/>
      <c r="AS3" s="64"/>
      <c r="AT3" s="64"/>
      <c r="AU3" s="64"/>
      <c r="AV3" s="64"/>
      <c r="AW3" s="64"/>
      <c r="AX3" s="64"/>
      <c r="AY3" s="64"/>
      <c r="AZ3" s="64"/>
      <c r="BB3" s="41"/>
      <c r="BC3" s="41"/>
    </row>
    <row r="4" spans="1:55" ht="14.25">
      <c r="A4" s="2">
        <v>43527</v>
      </c>
      <c r="B4" s="4">
        <f>330000*2</f>
        <v>660000</v>
      </c>
      <c r="C4" s="34">
        <f>B4*AD4</f>
        <v>118.61739999999999</v>
      </c>
      <c r="D4" s="4">
        <f>30000+10000</f>
        <v>40000</v>
      </c>
      <c r="E4" s="34">
        <f>D4*AD4</f>
        <v>7.188933333333332</v>
      </c>
      <c r="F4" s="4">
        <f>90000+30000</f>
        <v>120000</v>
      </c>
      <c r="G4" s="34">
        <f>F4*AD4</f>
        <v>21.566799999999997</v>
      </c>
      <c r="H4" s="4"/>
      <c r="I4" s="34">
        <f>H4*AD4</f>
        <v>0</v>
      </c>
      <c r="J4" s="4"/>
      <c r="K4" s="34">
        <f>J4*AD4</f>
        <v>0</v>
      </c>
      <c r="L4" s="4">
        <v>190000</v>
      </c>
      <c r="M4" s="34">
        <f>L4*AD4</f>
        <v>34.147433333333325</v>
      </c>
      <c r="O4" s="34">
        <f>N4*AD4</f>
        <v>0</v>
      </c>
      <c r="Q4" s="34">
        <f>P4*AD4</f>
        <v>0</v>
      </c>
      <c r="R4" s="4"/>
      <c r="S4" s="4"/>
      <c r="T4" s="4" t="s">
        <v>148</v>
      </c>
      <c r="U4" s="4"/>
      <c r="V4" s="4"/>
      <c r="W4" s="4"/>
      <c r="X4" s="4"/>
      <c r="Y4" s="4"/>
      <c r="Z4" s="4"/>
      <c r="AA4" s="4"/>
      <c r="AB4" s="4" t="s">
        <v>199</v>
      </c>
      <c r="AC4" s="34">
        <f>B4+D4+F4+H4+J4+L4+N4+P4</f>
        <v>1010000</v>
      </c>
      <c r="AD4" s="62">
        <f>539.17/3000000</f>
        <v>0.0001797233333333333</v>
      </c>
      <c r="AE4" s="62">
        <f>AC4*AD4</f>
        <v>181.52056666666664</v>
      </c>
      <c r="AG4" s="34">
        <v>26</v>
      </c>
      <c r="AO4" s="34" t="s">
        <v>160</v>
      </c>
      <c r="AP4" s="34">
        <f>COUNTA(W2:W49)</f>
        <v>0</v>
      </c>
      <c r="AR4" s="64"/>
      <c r="AS4" s="64"/>
      <c r="AT4" s="64"/>
      <c r="AU4" s="64"/>
      <c r="AV4" s="64"/>
      <c r="AW4" s="64"/>
      <c r="AX4" s="64"/>
      <c r="AY4" s="64"/>
      <c r="AZ4" s="64"/>
      <c r="BB4" s="41"/>
      <c r="BC4" s="41"/>
    </row>
    <row r="5" spans="1:42" ht="14.25">
      <c r="A5" s="2">
        <v>43528</v>
      </c>
      <c r="B5" s="4"/>
      <c r="C5" s="34">
        <f>B5*AD5</f>
        <v>0</v>
      </c>
      <c r="D5" s="4">
        <f>80000+54000</f>
        <v>134000</v>
      </c>
      <c r="E5" s="34">
        <f>D5*AD5</f>
        <v>24.082926666666662</v>
      </c>
      <c r="F5" s="4">
        <v>60000</v>
      </c>
      <c r="G5" s="34">
        <f>F5*AD5</f>
        <v>10.783399999999999</v>
      </c>
      <c r="H5" s="4"/>
      <c r="I5" s="34">
        <f>H5*AD5</f>
        <v>0</v>
      </c>
      <c r="J5" s="4"/>
      <c r="K5" s="34">
        <f>J5*AD5</f>
        <v>0</v>
      </c>
      <c r="L5" s="4">
        <v>190000</v>
      </c>
      <c r="M5" s="34">
        <f>L5*AD5</f>
        <v>34.147433333333325</v>
      </c>
      <c r="O5" s="34">
        <f>N5*AD5</f>
        <v>0</v>
      </c>
      <c r="Q5" s="34">
        <f>P5*AD5</f>
        <v>0</v>
      </c>
      <c r="R5" s="4"/>
      <c r="S5" s="4"/>
      <c r="T5" s="4" t="s">
        <v>148</v>
      </c>
      <c r="U5" s="4"/>
      <c r="V5" s="4"/>
      <c r="W5" s="4"/>
      <c r="X5" s="4"/>
      <c r="Y5" s="4"/>
      <c r="Z5" s="4"/>
      <c r="AA5" s="4"/>
      <c r="AB5" s="4" t="s">
        <v>200</v>
      </c>
      <c r="AC5" s="34">
        <f>B5+D5+F5+H5+J5+L5+N5+P5</f>
        <v>384000</v>
      </c>
      <c r="AD5" s="62">
        <f>539.17/3000000</f>
        <v>0.0001797233333333333</v>
      </c>
      <c r="AE5" s="62">
        <f>AC5*AD5</f>
        <v>69.01375999999999</v>
      </c>
      <c r="AG5" s="34">
        <v>26</v>
      </c>
      <c r="AI5" s="34" t="s">
        <v>163</v>
      </c>
      <c r="AJ5" s="34">
        <f>COUNTA(A2:A349)</f>
        <v>31</v>
      </c>
      <c r="AO5" s="34" t="s">
        <v>164</v>
      </c>
      <c r="AP5" s="34">
        <f>COUNTA(R2:R49)</f>
        <v>0</v>
      </c>
    </row>
    <row r="6" spans="1:42" ht="14.25">
      <c r="A6" s="2">
        <v>43529</v>
      </c>
      <c r="B6" s="4"/>
      <c r="C6" s="34">
        <f>B6*AD6</f>
        <v>0</v>
      </c>
      <c r="D6" s="4">
        <f>29000+25000+72000+24000</f>
        <v>150000</v>
      </c>
      <c r="E6" s="34">
        <f>D6*AD6</f>
        <v>26.958499999999997</v>
      </c>
      <c r="F6" s="4">
        <v>60000</v>
      </c>
      <c r="G6" s="34">
        <f>F6*AD6</f>
        <v>10.783399999999999</v>
      </c>
      <c r="H6" s="4"/>
      <c r="I6" s="34">
        <f>H6*AD6</f>
        <v>0</v>
      </c>
      <c r="J6" s="4">
        <v>20000</v>
      </c>
      <c r="K6" s="34">
        <f>J6*AD6</f>
        <v>3.594466666666666</v>
      </c>
      <c r="L6" s="4">
        <v>190000</v>
      </c>
      <c r="M6" s="34">
        <f>L6*AD6</f>
        <v>34.147433333333325</v>
      </c>
      <c r="O6" s="34">
        <f>N6*AD6</f>
        <v>0</v>
      </c>
      <c r="Q6" s="34">
        <f>P6*AD6</f>
        <v>0</v>
      </c>
      <c r="R6" s="4"/>
      <c r="S6" s="4"/>
      <c r="T6" s="4" t="s">
        <v>148</v>
      </c>
      <c r="U6" s="4"/>
      <c r="V6" s="4"/>
      <c r="W6" s="4"/>
      <c r="X6" s="4"/>
      <c r="Y6" s="4"/>
      <c r="Z6" s="4"/>
      <c r="AA6" s="4"/>
      <c r="AB6" s="4" t="s">
        <v>200</v>
      </c>
      <c r="AC6" s="34">
        <f>B6+D6+F6+H6+J6+L6+N6+P6</f>
        <v>420000</v>
      </c>
      <c r="AD6" s="62">
        <f>539.17/3000000</f>
        <v>0.0001797233333333333</v>
      </c>
      <c r="AE6" s="62">
        <f>AC6*AD6</f>
        <v>75.48379999999999</v>
      </c>
      <c r="AG6" s="34">
        <v>26</v>
      </c>
      <c r="AI6" s="65"/>
      <c r="AO6" s="34" t="s">
        <v>165</v>
      </c>
      <c r="AP6" s="34">
        <f>COUNTA(T2:T49)</f>
        <v>23</v>
      </c>
    </row>
    <row r="7" spans="1:42" ht="14.25">
      <c r="A7" s="2">
        <v>43530</v>
      </c>
      <c r="B7" s="4">
        <f>30000*2</f>
        <v>60000</v>
      </c>
      <c r="C7" s="34">
        <f>B7*AD7</f>
        <v>10.783399999999999</v>
      </c>
      <c r="D7" s="4">
        <f>18000</f>
        <v>18000</v>
      </c>
      <c r="E7" s="34">
        <f>D7*AD7</f>
        <v>3.2350199999999996</v>
      </c>
      <c r="F7" s="4"/>
      <c r="G7" s="34">
        <f>F7*AD7</f>
        <v>0</v>
      </c>
      <c r="H7" s="4"/>
      <c r="I7" s="34">
        <f>H7*AD7</f>
        <v>0</v>
      </c>
      <c r="J7" s="4"/>
      <c r="K7" s="34">
        <f>J7*AD7</f>
        <v>0</v>
      </c>
      <c r="L7" s="4"/>
      <c r="M7" s="34">
        <f>L7*AD7</f>
        <v>0</v>
      </c>
      <c r="O7" s="34">
        <f>N7*AD7</f>
        <v>0</v>
      </c>
      <c r="Q7" s="34">
        <f>P7*AD7</f>
        <v>0</v>
      </c>
      <c r="R7" s="4"/>
      <c r="S7" s="4"/>
      <c r="T7" s="4"/>
      <c r="U7" s="4"/>
      <c r="V7" s="4"/>
      <c r="W7" s="4"/>
      <c r="X7" s="4"/>
      <c r="Y7" s="4"/>
      <c r="Z7" s="4"/>
      <c r="AA7" s="4"/>
      <c r="AB7" s="4"/>
      <c r="AC7" s="34">
        <f>B7+D7+F7+H7+J7+L7+N7+P7</f>
        <v>78000</v>
      </c>
      <c r="AD7" s="62">
        <f>539.17/3000000</f>
        <v>0.0001797233333333333</v>
      </c>
      <c r="AE7" s="62">
        <f>AC7*AD7</f>
        <v>14.018419999999997</v>
      </c>
      <c r="AG7" s="34">
        <v>26</v>
      </c>
      <c r="AL7" s="34" t="s">
        <v>166</v>
      </c>
      <c r="AO7" s="34" t="s">
        <v>137</v>
      </c>
      <c r="AP7" s="34">
        <f>COUNTA(U2:U49)</f>
        <v>0</v>
      </c>
    </row>
    <row r="8" spans="1:42" ht="14.25">
      <c r="A8" s="2"/>
      <c r="B8" s="4"/>
      <c r="C8" s="34">
        <f>B8*AD8</f>
        <v>0</v>
      </c>
      <c r="D8" s="4">
        <v>10</v>
      </c>
      <c r="E8" s="34">
        <f>D8*AD8</f>
        <v>5.9979</v>
      </c>
      <c r="F8" s="4">
        <f>12*4</f>
        <v>48</v>
      </c>
      <c r="G8" s="34">
        <f>F8*AD8</f>
        <v>28.789919999999995</v>
      </c>
      <c r="H8" s="4"/>
      <c r="I8" s="34">
        <f>H8*AD8</f>
        <v>0</v>
      </c>
      <c r="J8" s="4">
        <f>100+150</f>
        <v>250</v>
      </c>
      <c r="K8" s="34">
        <f>J8*AD8</f>
        <v>149.9475</v>
      </c>
      <c r="L8" s="4">
        <v>64</v>
      </c>
      <c r="M8" s="34">
        <f>L8*AD8</f>
        <v>38.386559999999996</v>
      </c>
      <c r="O8" s="34">
        <f>N8*AD8</f>
        <v>0</v>
      </c>
      <c r="Q8" s="34">
        <f>P8*AD8</f>
        <v>0</v>
      </c>
      <c r="R8" s="4"/>
      <c r="S8" s="4"/>
      <c r="T8" s="4" t="s">
        <v>148</v>
      </c>
      <c r="U8" s="4"/>
      <c r="V8" s="4"/>
      <c r="W8" s="4"/>
      <c r="X8" s="4"/>
      <c r="Y8" s="4"/>
      <c r="Z8" s="4"/>
      <c r="AA8" s="4"/>
      <c r="AB8" s="4" t="s">
        <v>201</v>
      </c>
      <c r="AC8" s="34">
        <f>B8+D8+F8+H8+J8+L8+N8+P8</f>
        <v>372</v>
      </c>
      <c r="AD8" s="62">
        <f>599.79/1000</f>
        <v>0.5997899999999999</v>
      </c>
      <c r="AE8" s="62">
        <f>AC8*AD8</f>
        <v>223.12187999999998</v>
      </c>
      <c r="AG8" s="34">
        <v>27</v>
      </c>
      <c r="AI8" s="34" t="s">
        <v>168</v>
      </c>
      <c r="AJ8" s="60">
        <f>SUM(M2:M994)</f>
        <v>1182.5786233333333</v>
      </c>
      <c r="AL8" s="34" t="s">
        <v>130</v>
      </c>
      <c r="AM8" s="60">
        <f>AJ8/$AJ$5</f>
        <v>38.14769752688172</v>
      </c>
      <c r="AO8" s="34" t="s">
        <v>169</v>
      </c>
      <c r="AP8" s="34">
        <f>COUNTA(S2:S49)</f>
        <v>0</v>
      </c>
    </row>
    <row r="9" spans="1:42" ht="14.25">
      <c r="A9" s="2">
        <v>43531</v>
      </c>
      <c r="B9" s="4">
        <f>58*2+2+2</f>
        <v>120</v>
      </c>
      <c r="C9" s="34">
        <f>B9*AD9</f>
        <v>71.97479999999999</v>
      </c>
      <c r="D9" s="4">
        <f>39</f>
        <v>39</v>
      </c>
      <c r="E9" s="34">
        <f>D9*AD9</f>
        <v>23.391809999999996</v>
      </c>
      <c r="F9" s="4">
        <v>20</v>
      </c>
      <c r="G9" s="34">
        <f>F9*AD9</f>
        <v>11.9958</v>
      </c>
      <c r="H9" s="4"/>
      <c r="I9" s="34">
        <f>H9*AD9</f>
        <v>0</v>
      </c>
      <c r="J9" s="4"/>
      <c r="K9" s="34">
        <f>J9*AD9</f>
        <v>0</v>
      </c>
      <c r="L9" s="4">
        <v>60</v>
      </c>
      <c r="M9" s="34">
        <f>L9*AD9</f>
        <v>35.987399999999994</v>
      </c>
      <c r="O9" s="34">
        <f>N9*AD9</f>
        <v>0</v>
      </c>
      <c r="Q9" s="34">
        <f>P9*AD9</f>
        <v>0</v>
      </c>
      <c r="R9" s="4"/>
      <c r="S9" s="4"/>
      <c r="T9" s="4" t="s">
        <v>148</v>
      </c>
      <c r="U9" s="4"/>
      <c r="V9" s="4"/>
      <c r="W9" s="4"/>
      <c r="X9" s="4"/>
      <c r="Y9" s="4"/>
      <c r="Z9" s="4"/>
      <c r="AA9" s="4"/>
      <c r="AB9" s="4" t="s">
        <v>202</v>
      </c>
      <c r="AC9" s="34">
        <f>B9+D9+F9+H9+J9+L9+N9+P9</f>
        <v>239</v>
      </c>
      <c r="AD9" s="62">
        <f>599.79/1000</f>
        <v>0.5997899999999999</v>
      </c>
      <c r="AE9" s="62">
        <f>AC9*AD9</f>
        <v>143.34981</v>
      </c>
      <c r="AG9" s="34">
        <v>27</v>
      </c>
      <c r="AI9" s="34" t="s">
        <v>171</v>
      </c>
      <c r="AJ9" s="60">
        <f>SUM(C2:C994)</f>
        <v>1139.41511</v>
      </c>
      <c r="AL9" s="34" t="s">
        <v>120</v>
      </c>
      <c r="AM9" s="60">
        <f>AJ9/$AJ$5</f>
        <v>36.755326129032255</v>
      </c>
      <c r="AO9" s="34" t="s">
        <v>138</v>
      </c>
      <c r="AP9" s="34">
        <f>COUNTA(V2:V50)</f>
        <v>0</v>
      </c>
    </row>
    <row r="10" spans="1:42" ht="14.25">
      <c r="A10" s="2">
        <v>43532</v>
      </c>
      <c r="B10" s="4"/>
      <c r="C10" s="34">
        <f>B10*AD10</f>
        <v>0</v>
      </c>
      <c r="D10" s="4">
        <f>19+2</f>
        <v>21</v>
      </c>
      <c r="E10" s="34">
        <f>D10*AD10</f>
        <v>12.595589999999998</v>
      </c>
      <c r="F10" s="4">
        <f>15</f>
        <v>15</v>
      </c>
      <c r="G10" s="34">
        <f>F10*AD10</f>
        <v>8.996849999999998</v>
      </c>
      <c r="H10" s="4"/>
      <c r="I10" s="34">
        <f>H10*AD10</f>
        <v>0</v>
      </c>
      <c r="J10" s="4">
        <v>5</v>
      </c>
      <c r="K10" s="34">
        <f>J10*AD10</f>
        <v>2.99895</v>
      </c>
      <c r="L10" s="4">
        <v>60</v>
      </c>
      <c r="M10" s="34">
        <f>L10*AD10</f>
        <v>35.987399999999994</v>
      </c>
      <c r="O10" s="34">
        <f>N10*AD10</f>
        <v>0</v>
      </c>
      <c r="Q10" s="34">
        <f>P10*AD10</f>
        <v>0</v>
      </c>
      <c r="R10" s="4"/>
      <c r="S10" s="4"/>
      <c r="T10" s="4" t="s">
        <v>148</v>
      </c>
      <c r="U10" s="4"/>
      <c r="V10" s="4"/>
      <c r="W10" s="4"/>
      <c r="X10" s="4"/>
      <c r="Y10" s="4"/>
      <c r="Z10" s="4"/>
      <c r="AA10" s="4"/>
      <c r="AB10" s="4" t="s">
        <v>203</v>
      </c>
      <c r="AC10" s="34">
        <f>B10+D10+F10+H10+J10+L10+N10+P10</f>
        <v>101</v>
      </c>
      <c r="AD10" s="62">
        <f>599.79/1000</f>
        <v>0.5997899999999999</v>
      </c>
      <c r="AE10" s="62">
        <f>AC10*AD10</f>
        <v>60.57878999999999</v>
      </c>
      <c r="AG10" s="34">
        <v>27</v>
      </c>
      <c r="AI10" s="34" t="s">
        <v>172</v>
      </c>
      <c r="AJ10" s="60">
        <f>SUM(E2:E994)</f>
        <v>573.0172356666666</v>
      </c>
      <c r="AL10" s="34" t="s">
        <v>58</v>
      </c>
      <c r="AM10" s="60">
        <f>AJ10/$AJ$5</f>
        <v>18.484426956989246</v>
      </c>
      <c r="AO10" s="34" t="s">
        <v>141</v>
      </c>
      <c r="AP10" s="34">
        <f>COUNTA(Y2:Y51)</f>
        <v>7</v>
      </c>
    </row>
    <row r="11" spans="1:42" ht="14.25">
      <c r="A11" s="2">
        <v>43533</v>
      </c>
      <c r="B11" s="4">
        <f>20*2</f>
        <v>40</v>
      </c>
      <c r="C11" s="34">
        <f>B11*AD11</f>
        <v>23.9916</v>
      </c>
      <c r="D11" s="4">
        <v>18</v>
      </c>
      <c r="E11" s="34">
        <f>D11*AD11</f>
        <v>10.796219999999998</v>
      </c>
      <c r="F11" s="4">
        <v>14</v>
      </c>
      <c r="G11" s="34">
        <f>F11*AD11</f>
        <v>8.39706</v>
      </c>
      <c r="H11" s="4"/>
      <c r="I11" s="34">
        <f>H11*AD11</f>
        <v>0</v>
      </c>
      <c r="J11" s="4">
        <v>10</v>
      </c>
      <c r="K11" s="34">
        <f>J11*AD11</f>
        <v>5.9979</v>
      </c>
      <c r="L11" s="4">
        <v>60</v>
      </c>
      <c r="M11" s="34">
        <f>L11*AD11</f>
        <v>35.987399999999994</v>
      </c>
      <c r="O11" s="34">
        <f>N11*AD11</f>
        <v>0</v>
      </c>
      <c r="Q11" s="34">
        <f>P11*AD11</f>
        <v>0</v>
      </c>
      <c r="R11" s="4"/>
      <c r="S11" s="4"/>
      <c r="T11" s="4" t="s">
        <v>148</v>
      </c>
      <c r="U11" s="4"/>
      <c r="V11" s="4"/>
      <c r="W11" s="4"/>
      <c r="X11" s="4"/>
      <c r="Y11" s="4"/>
      <c r="Z11" s="4"/>
      <c r="AA11" s="4"/>
      <c r="AB11" s="4" t="s">
        <v>203</v>
      </c>
      <c r="AC11" s="34">
        <f>B11+D11+F11+H11+J11+L11+N11+P11</f>
        <v>142</v>
      </c>
      <c r="AD11" s="62">
        <f>599.79/1000</f>
        <v>0.5997899999999999</v>
      </c>
      <c r="AE11" s="62">
        <f>AC11*AD11</f>
        <v>85.17017999999999</v>
      </c>
      <c r="AG11" s="34">
        <v>27</v>
      </c>
      <c r="AI11" s="34" t="s">
        <v>173</v>
      </c>
      <c r="AJ11" s="60">
        <f>SUM(G2:G994)</f>
        <v>486.34849666666656</v>
      </c>
      <c r="AL11" s="34" t="s">
        <v>174</v>
      </c>
      <c r="AM11" s="60">
        <f>AJ11/$AJ$5</f>
        <v>15.688661182795695</v>
      </c>
      <c r="AO11" s="34" t="s">
        <v>175</v>
      </c>
      <c r="AP11" s="34">
        <f>COUNTA(Z2:Z52)</f>
        <v>1</v>
      </c>
    </row>
    <row r="12" spans="1:39" ht="14.25">
      <c r="A12" s="2">
        <v>43534</v>
      </c>
      <c r="B12" s="4">
        <f>137*2</f>
        <v>274</v>
      </c>
      <c r="C12" s="34">
        <f>B12*AD12</f>
        <v>164.34246</v>
      </c>
      <c r="D12" s="4">
        <f>12+16.4</f>
        <v>28.4</v>
      </c>
      <c r="E12" s="34">
        <f>D12*AD12</f>
        <v>17.034035999999997</v>
      </c>
      <c r="F12" s="4"/>
      <c r="G12" s="34">
        <f>F12*AD12</f>
        <v>0</v>
      </c>
      <c r="H12" s="4"/>
      <c r="I12" s="34">
        <f>H12*AD12</f>
        <v>0</v>
      </c>
      <c r="J12" s="4">
        <v>4</v>
      </c>
      <c r="K12" s="34">
        <f>J12*AD12</f>
        <v>2.3991599999999997</v>
      </c>
      <c r="L12" s="4">
        <v>60</v>
      </c>
      <c r="M12" s="34">
        <f>L12*AD12</f>
        <v>35.987399999999994</v>
      </c>
      <c r="O12" s="34">
        <f>N12*AD12</f>
        <v>0</v>
      </c>
      <c r="Q12" s="34">
        <f>P12*AD12</f>
        <v>0</v>
      </c>
      <c r="R12" s="4"/>
      <c r="S12" s="4"/>
      <c r="T12" s="4" t="s">
        <v>148</v>
      </c>
      <c r="U12" s="4"/>
      <c r="V12" s="4"/>
      <c r="W12" s="4"/>
      <c r="X12" s="4"/>
      <c r="Y12" s="4"/>
      <c r="Z12" s="4"/>
      <c r="AA12" s="4"/>
      <c r="AB12" s="4" t="s">
        <v>203</v>
      </c>
      <c r="AC12" s="34">
        <f>B12+D12+F12+H12+J12+L12+N12+P12</f>
        <v>366.4</v>
      </c>
      <c r="AD12" s="62">
        <f>599.79/1000</f>
        <v>0.5997899999999999</v>
      </c>
      <c r="AE12" s="62">
        <f>AC12*AD12</f>
        <v>219.76305599999995</v>
      </c>
      <c r="AG12" s="34">
        <v>27</v>
      </c>
      <c r="AI12" s="34" t="s">
        <v>176</v>
      </c>
      <c r="AJ12" s="60">
        <f>SUM(K2:K994)</f>
        <v>226.11121499999996</v>
      </c>
      <c r="AL12" s="34" t="s">
        <v>128</v>
      </c>
      <c r="AM12" s="60">
        <f>AJ12/$AJ$5</f>
        <v>7.293910161290321</v>
      </c>
    </row>
    <row r="13" spans="1:39" ht="14.25">
      <c r="A13" s="2">
        <v>43535</v>
      </c>
      <c r="B13" s="4">
        <f>5*2</f>
        <v>10</v>
      </c>
      <c r="C13" s="34">
        <f>B13*AD13</f>
        <v>5.9979</v>
      </c>
      <c r="D13" s="4">
        <v>30.3</v>
      </c>
      <c r="E13" s="34">
        <f>D13*AD13</f>
        <v>18.173637</v>
      </c>
      <c r="F13" s="4">
        <v>24</v>
      </c>
      <c r="G13" s="34">
        <f>F13*AD13</f>
        <v>14.394959999999998</v>
      </c>
      <c r="H13" s="4"/>
      <c r="I13" s="34">
        <f>H13*AD13</f>
        <v>0</v>
      </c>
      <c r="J13" s="4">
        <v>10</v>
      </c>
      <c r="K13" s="34">
        <f>J13*AD13</f>
        <v>5.9979</v>
      </c>
      <c r="L13" s="4">
        <v>66</v>
      </c>
      <c r="M13" s="34">
        <f>L13*AD13</f>
        <v>39.58613999999999</v>
      </c>
      <c r="O13" s="34">
        <f>N13*AD13</f>
        <v>0</v>
      </c>
      <c r="Q13" s="34">
        <f>P13*AD13</f>
        <v>0</v>
      </c>
      <c r="R13" s="4"/>
      <c r="S13" s="4"/>
      <c r="T13" s="4"/>
      <c r="U13" s="4"/>
      <c r="V13" s="4"/>
      <c r="W13" s="4"/>
      <c r="X13" s="4"/>
      <c r="Y13" s="4" t="s">
        <v>148</v>
      </c>
      <c r="Z13" s="4"/>
      <c r="AA13" s="4"/>
      <c r="AB13" s="4" t="s">
        <v>204</v>
      </c>
      <c r="AC13" s="34">
        <f>B13+D13+F13+H13+J13+L13+N13+P13</f>
        <v>140.3</v>
      </c>
      <c r="AD13" s="62">
        <f>599.79/1000</f>
        <v>0.5997899999999999</v>
      </c>
      <c r="AE13" s="62">
        <f>AC13*AD13</f>
        <v>84.150537</v>
      </c>
      <c r="AG13" s="34">
        <v>27</v>
      </c>
      <c r="AI13" s="34" t="s">
        <v>177</v>
      </c>
      <c r="AJ13" s="34">
        <f>SUM(I2:I994)</f>
        <v>173.9177333333333</v>
      </c>
      <c r="AL13" s="34" t="s">
        <v>126</v>
      </c>
      <c r="AM13" s="60">
        <f>AJ13/$AJ$5</f>
        <v>5.610249462365591</v>
      </c>
    </row>
    <row r="14" spans="1:36" ht="14.25">
      <c r="A14" s="2">
        <v>43536</v>
      </c>
      <c r="B14" s="4">
        <f>152*2+2*4</f>
        <v>312</v>
      </c>
      <c r="C14" s="34">
        <f>B14*AD14</f>
        <v>187.13447999999997</v>
      </c>
      <c r="D14" s="4">
        <v>20</v>
      </c>
      <c r="E14" s="34">
        <f>D14*AD14</f>
        <v>11.9958</v>
      </c>
      <c r="F14" s="4">
        <v>24</v>
      </c>
      <c r="G14" s="34">
        <f>F14*AD14</f>
        <v>14.394959999999998</v>
      </c>
      <c r="H14" s="4"/>
      <c r="I14" s="34">
        <f>H14*AD14</f>
        <v>0</v>
      </c>
      <c r="J14" s="4">
        <v>4.5</v>
      </c>
      <c r="K14" s="34">
        <f>J14*AD14</f>
        <v>2.6990549999999995</v>
      </c>
      <c r="L14" s="4">
        <v>66</v>
      </c>
      <c r="M14" s="34">
        <f>L14*AD14</f>
        <v>39.58613999999999</v>
      </c>
      <c r="O14" s="34">
        <f>N14*AD14</f>
        <v>0</v>
      </c>
      <c r="Q14" s="34">
        <f>P14*AD14</f>
        <v>0</v>
      </c>
      <c r="R14" s="4"/>
      <c r="S14" s="4"/>
      <c r="T14" s="4"/>
      <c r="U14" s="4"/>
      <c r="V14" s="4"/>
      <c r="W14" s="4"/>
      <c r="X14" s="4"/>
      <c r="Y14" s="4" t="s">
        <v>148</v>
      </c>
      <c r="Z14" s="4"/>
      <c r="AA14" s="4"/>
      <c r="AB14" s="4" t="s">
        <v>205</v>
      </c>
      <c r="AC14" s="34">
        <f>B14+D14+F14+H14+J14+L14+N14+P14</f>
        <v>426.5</v>
      </c>
      <c r="AD14" s="62">
        <f>599.79/1000</f>
        <v>0.5997899999999999</v>
      </c>
      <c r="AE14" s="62">
        <f>AC14*AD14</f>
        <v>255.81043499999998</v>
      </c>
      <c r="AG14" s="34">
        <v>27</v>
      </c>
      <c r="AI14" s="34" t="s">
        <v>178</v>
      </c>
      <c r="AJ14" s="60">
        <f>SUM(O2:O994)</f>
        <v>74.97375</v>
      </c>
    </row>
    <row r="15" spans="1:36" ht="14.25">
      <c r="A15" s="2">
        <v>43537</v>
      </c>
      <c r="B15" s="4"/>
      <c r="C15" s="34">
        <f>B15*AD15</f>
        <v>0</v>
      </c>
      <c r="D15" s="4">
        <v>17</v>
      </c>
      <c r="E15" s="34">
        <f>D15*AD15</f>
        <v>10.19643</v>
      </c>
      <c r="F15" s="4">
        <v>24</v>
      </c>
      <c r="G15" s="34">
        <f>F15*AD15</f>
        <v>14.394959999999998</v>
      </c>
      <c r="H15" s="4"/>
      <c r="I15" s="34">
        <f>H15*AD15</f>
        <v>0</v>
      </c>
      <c r="J15" s="4"/>
      <c r="K15" s="34">
        <f>J15*AD15</f>
        <v>0</v>
      </c>
      <c r="L15" s="4">
        <v>66</v>
      </c>
      <c r="M15" s="34">
        <f>L15*AD15</f>
        <v>39.58613999999999</v>
      </c>
      <c r="O15" s="34">
        <f>N15*AD15</f>
        <v>0</v>
      </c>
      <c r="Q15" s="34">
        <f>P15*AD15</f>
        <v>0</v>
      </c>
      <c r="R15" s="4"/>
      <c r="S15" s="4"/>
      <c r="T15" s="4"/>
      <c r="U15" s="4"/>
      <c r="V15" s="4"/>
      <c r="W15" s="4"/>
      <c r="X15" s="4"/>
      <c r="Y15" s="4" t="s">
        <v>148</v>
      </c>
      <c r="Z15" s="4"/>
      <c r="AA15" s="4"/>
      <c r="AB15" s="4" t="s">
        <v>206</v>
      </c>
      <c r="AC15" s="34">
        <f>B15+D15+F15+H15+J15+L15+N15+P15</f>
        <v>107</v>
      </c>
      <c r="AD15" s="62">
        <f>599.79/1000</f>
        <v>0.5997899999999999</v>
      </c>
      <c r="AE15" s="62">
        <f>AC15*AD15</f>
        <v>64.17752999999999</v>
      </c>
      <c r="AG15" s="34">
        <v>27</v>
      </c>
      <c r="AI15" s="34" t="s">
        <v>179</v>
      </c>
      <c r="AJ15" s="34">
        <f>SUM(Q2:Q60)</f>
        <v>0</v>
      </c>
    </row>
    <row r="16" spans="1:35" ht="14.25">
      <c r="A16" s="2">
        <v>43538</v>
      </c>
      <c r="B16" s="4">
        <f>2*2</f>
        <v>4</v>
      </c>
      <c r="C16" s="34">
        <f>B16*AD16</f>
        <v>2.3991599999999997</v>
      </c>
      <c r="D16" s="4">
        <f>12</f>
        <v>12</v>
      </c>
      <c r="E16" s="34">
        <f>D16*AD16</f>
        <v>7.197479999999999</v>
      </c>
      <c r="F16" s="4">
        <f>12*2+13*2</f>
        <v>50</v>
      </c>
      <c r="G16" s="34">
        <f>F16*AD16</f>
        <v>29.989499999999996</v>
      </c>
      <c r="H16" s="4"/>
      <c r="I16" s="34">
        <f>H16*AD16</f>
        <v>0</v>
      </c>
      <c r="J16" s="4"/>
      <c r="K16" s="34">
        <f>J16*AD16</f>
        <v>0</v>
      </c>
      <c r="L16" s="4"/>
      <c r="M16" s="34">
        <f>L16*AD16</f>
        <v>0</v>
      </c>
      <c r="O16" s="34">
        <f>N16*AD16</f>
        <v>0</v>
      </c>
      <c r="Q16" s="34">
        <f>P16*AD16</f>
        <v>0</v>
      </c>
      <c r="R16" s="4"/>
      <c r="S16" s="4"/>
      <c r="T16" s="4"/>
      <c r="U16" s="4"/>
      <c r="V16" s="4"/>
      <c r="W16" s="4"/>
      <c r="X16" s="4"/>
      <c r="Y16" s="4"/>
      <c r="Z16" s="4" t="s">
        <v>148</v>
      </c>
      <c r="AA16" s="4"/>
      <c r="AB16" s="4" t="s">
        <v>207</v>
      </c>
      <c r="AC16" s="34">
        <f>B16+D16+F16+H16+J16+L16+N16+P16</f>
        <v>66</v>
      </c>
      <c r="AD16" s="62">
        <f>599.79/1000</f>
        <v>0.5997899999999999</v>
      </c>
      <c r="AE16" s="62">
        <f>AC16*AD16</f>
        <v>39.58613999999999</v>
      </c>
      <c r="AG16" s="34">
        <v>27</v>
      </c>
      <c r="AI16" s="65"/>
    </row>
    <row r="17" spans="1:44" ht="14.25">
      <c r="A17" s="2">
        <v>43539</v>
      </c>
      <c r="B17" s="4">
        <f>2*2</f>
        <v>4</v>
      </c>
      <c r="C17" s="34">
        <f>B17*AD17</f>
        <v>2.3991599999999997</v>
      </c>
      <c r="D17" s="4">
        <v>49</v>
      </c>
      <c r="E17" s="34">
        <f>D17*AD17</f>
        <v>29.389709999999997</v>
      </c>
      <c r="F17" s="4">
        <v>50</v>
      </c>
      <c r="G17" s="34">
        <f>F17*AD17</f>
        <v>29.989499999999996</v>
      </c>
      <c r="H17" s="4"/>
      <c r="I17" s="34">
        <f>H17*AD17</f>
        <v>0</v>
      </c>
      <c r="J17" s="4"/>
      <c r="K17" s="34">
        <f>J17*AD17</f>
        <v>0</v>
      </c>
      <c r="L17" s="4">
        <v>66</v>
      </c>
      <c r="M17" s="34">
        <f>L17*AD17</f>
        <v>39.58613999999999</v>
      </c>
      <c r="O17" s="34">
        <f>N17*AD17</f>
        <v>0</v>
      </c>
      <c r="Q17" s="34">
        <f>P17*AD17</f>
        <v>0</v>
      </c>
      <c r="R17" s="4"/>
      <c r="S17" s="4"/>
      <c r="T17" s="4"/>
      <c r="U17" s="4"/>
      <c r="V17" s="4"/>
      <c r="W17" s="4"/>
      <c r="X17" s="4"/>
      <c r="Y17" s="4" t="s">
        <v>148</v>
      </c>
      <c r="Z17" s="4"/>
      <c r="AA17" s="4"/>
      <c r="AB17" s="4" t="s">
        <v>208</v>
      </c>
      <c r="AC17" s="34">
        <f>B17+D17+F17+H17+J17+L17+N17+P17</f>
        <v>169</v>
      </c>
      <c r="AD17" s="62">
        <f>599.79/1000</f>
        <v>0.5997899999999999</v>
      </c>
      <c r="AE17" s="62">
        <f>AC17*AD17</f>
        <v>101.36451</v>
      </c>
      <c r="AG17" s="34">
        <v>27</v>
      </c>
      <c r="AR17" s="59"/>
    </row>
    <row r="18" spans="1:44" ht="14.25">
      <c r="A18" s="2">
        <v>43540</v>
      </c>
      <c r="B18" s="4"/>
      <c r="C18" s="34">
        <f>B18*AD18</f>
        <v>0</v>
      </c>
      <c r="D18" s="4">
        <v>10</v>
      </c>
      <c r="E18" s="34">
        <f>D18*AD18</f>
        <v>5.9979</v>
      </c>
      <c r="F18" s="4">
        <f>12*2+50</f>
        <v>74</v>
      </c>
      <c r="G18" s="34">
        <f>F18*AD18</f>
        <v>44.38446</v>
      </c>
      <c r="H18" s="4"/>
      <c r="I18" s="34">
        <f>H18*AD18</f>
        <v>0</v>
      </c>
      <c r="J18" s="4"/>
      <c r="K18" s="34">
        <f>J18*AD18</f>
        <v>0</v>
      </c>
      <c r="L18" s="4">
        <v>66</v>
      </c>
      <c r="M18" s="34">
        <f>L18*AD18</f>
        <v>39.58613999999999</v>
      </c>
      <c r="O18" s="34">
        <f>N18*AD18</f>
        <v>0</v>
      </c>
      <c r="Q18" s="34">
        <f>P18*AD18</f>
        <v>0</v>
      </c>
      <c r="R18" s="4"/>
      <c r="S18" s="4"/>
      <c r="T18" s="4"/>
      <c r="U18" s="4"/>
      <c r="V18" s="4"/>
      <c r="W18" s="4"/>
      <c r="X18" s="4"/>
      <c r="Y18" s="4" t="s">
        <v>148</v>
      </c>
      <c r="Z18" s="4"/>
      <c r="AA18" s="4"/>
      <c r="AB18" s="4" t="s">
        <v>208</v>
      </c>
      <c r="AC18" s="34">
        <f>B18+D18+F18+H18+J18+L18+N18+P18</f>
        <v>150</v>
      </c>
      <c r="AD18" s="62">
        <f>599.79/1000</f>
        <v>0.5997899999999999</v>
      </c>
      <c r="AE18" s="62">
        <f>AC18*AD18</f>
        <v>89.96849999999999</v>
      </c>
      <c r="AG18" s="34">
        <v>27</v>
      </c>
      <c r="AI18" s="34" t="s">
        <v>182</v>
      </c>
      <c r="AJ18" s="34">
        <f>SUM(AA2:AA50)</f>
        <v>2</v>
      </c>
      <c r="AR18" s="59"/>
    </row>
    <row r="19" spans="1:33" ht="14.25">
      <c r="A19" s="2">
        <v>43541</v>
      </c>
      <c r="B19" s="4"/>
      <c r="C19" s="34">
        <f>B19*AD19</f>
        <v>0</v>
      </c>
      <c r="D19" s="4">
        <v>26.9</v>
      </c>
      <c r="E19" s="34">
        <f>D19*AD19</f>
        <v>16.134351</v>
      </c>
      <c r="F19" s="4">
        <v>30</v>
      </c>
      <c r="G19" s="34">
        <f>F19*AD19</f>
        <v>17.993699999999997</v>
      </c>
      <c r="H19" s="4"/>
      <c r="I19" s="34">
        <f>H19*AD19</f>
        <v>0</v>
      </c>
      <c r="J19" s="4"/>
      <c r="K19" s="34">
        <f>J19*AD19</f>
        <v>0</v>
      </c>
      <c r="L19" s="4">
        <v>66</v>
      </c>
      <c r="M19" s="34">
        <f>L19*AD19</f>
        <v>39.58613999999999</v>
      </c>
      <c r="O19" s="34">
        <f>N19*AD19</f>
        <v>0</v>
      </c>
      <c r="Q19" s="34">
        <f>P19*AD19</f>
        <v>0</v>
      </c>
      <c r="R19" s="4"/>
      <c r="S19" s="4"/>
      <c r="T19" s="4"/>
      <c r="U19" s="4"/>
      <c r="V19" s="4"/>
      <c r="W19" s="4"/>
      <c r="X19" s="4"/>
      <c r="Y19" s="4" t="s">
        <v>148</v>
      </c>
      <c r="Z19" s="4"/>
      <c r="AA19" s="4"/>
      <c r="AB19" s="4" t="s">
        <v>208</v>
      </c>
      <c r="AC19" s="34">
        <f>B19+D19+F19+H19+J19+L19+N19+P19</f>
        <v>122.9</v>
      </c>
      <c r="AD19" s="62">
        <f>599.79/1000</f>
        <v>0.5997899999999999</v>
      </c>
      <c r="AE19" s="62">
        <f>AC19*AD19</f>
        <v>73.714191</v>
      </c>
      <c r="AG19" s="34">
        <v>27</v>
      </c>
    </row>
    <row r="20" spans="1:33" ht="14.25">
      <c r="A20" s="2">
        <v>43542</v>
      </c>
      <c r="B20" s="4">
        <f>62*2</f>
        <v>124</v>
      </c>
      <c r="C20" s="34">
        <f>B20*AD20</f>
        <v>74.37396</v>
      </c>
      <c r="D20" s="4">
        <f>52+9</f>
        <v>61</v>
      </c>
      <c r="E20" s="34">
        <f>D20*AD20</f>
        <v>36.58718999999999</v>
      </c>
      <c r="F20" s="4">
        <v>26</v>
      </c>
      <c r="G20" s="34">
        <f>F20*AD20</f>
        <v>15.594539999999999</v>
      </c>
      <c r="H20" s="4"/>
      <c r="I20" s="34">
        <f>H20*AD20</f>
        <v>0</v>
      </c>
      <c r="J20" s="4">
        <v>50</v>
      </c>
      <c r="K20" s="34">
        <f>J20*AD20</f>
        <v>29.989499999999996</v>
      </c>
      <c r="L20" s="4">
        <v>62</v>
      </c>
      <c r="M20" s="34">
        <f>L20*AD20</f>
        <v>37.18698</v>
      </c>
      <c r="O20" s="34">
        <f>N20*AD20</f>
        <v>0</v>
      </c>
      <c r="Q20" s="34">
        <f>P20*AD20</f>
        <v>0</v>
      </c>
      <c r="R20" s="4"/>
      <c r="S20" s="4"/>
      <c r="T20" s="4" t="s">
        <v>148</v>
      </c>
      <c r="U20" s="4"/>
      <c r="V20" s="4"/>
      <c r="W20" s="4"/>
      <c r="X20" s="4"/>
      <c r="Y20" s="4"/>
      <c r="Z20" s="4"/>
      <c r="AA20" s="4"/>
      <c r="AB20" s="4" t="s">
        <v>209</v>
      </c>
      <c r="AC20" s="34">
        <f>B20+D20+F20+H20+J20+L20+N20+P20</f>
        <v>323</v>
      </c>
      <c r="AD20" s="62">
        <f>599.79/1000</f>
        <v>0.5997899999999999</v>
      </c>
      <c r="AE20" s="62">
        <f>AC20*AD20</f>
        <v>193.73216999999997</v>
      </c>
      <c r="AG20" s="34">
        <v>27</v>
      </c>
    </row>
    <row r="21" spans="1:33" ht="14.25">
      <c r="A21" s="2">
        <v>43543</v>
      </c>
      <c r="B21" s="4"/>
      <c r="C21" s="34">
        <f>B21*AD21</f>
        <v>0</v>
      </c>
      <c r="D21" s="4">
        <f>27+8+9</f>
        <v>44</v>
      </c>
      <c r="E21" s="34">
        <f>D21*AD21</f>
        <v>26.390759999999997</v>
      </c>
      <c r="F21" s="4">
        <v>30</v>
      </c>
      <c r="G21" s="34">
        <f>F21*AD21</f>
        <v>17.993699999999997</v>
      </c>
      <c r="H21" s="4"/>
      <c r="I21" s="34">
        <f>H21*AD21</f>
        <v>0</v>
      </c>
      <c r="J21" s="4"/>
      <c r="K21" s="34">
        <f>J21*AD21</f>
        <v>0</v>
      </c>
      <c r="L21" s="4">
        <v>62</v>
      </c>
      <c r="M21" s="34">
        <f>L21*AD21</f>
        <v>37.18698</v>
      </c>
      <c r="O21" s="34">
        <f>N21*AD21</f>
        <v>0</v>
      </c>
      <c r="Q21" s="34">
        <f>P21*AD21</f>
        <v>0</v>
      </c>
      <c r="R21" s="4"/>
      <c r="S21" s="4"/>
      <c r="T21" s="4" t="s">
        <v>148</v>
      </c>
      <c r="U21" s="4"/>
      <c r="V21" s="4"/>
      <c r="W21" s="4"/>
      <c r="X21" s="4"/>
      <c r="Y21" s="4"/>
      <c r="Z21" s="4"/>
      <c r="AA21" s="4"/>
      <c r="AB21" s="4" t="s">
        <v>210</v>
      </c>
      <c r="AC21" s="34">
        <f>B21+D21+F21+H21+J21+L21+N21+P21</f>
        <v>136</v>
      </c>
      <c r="AD21" s="62">
        <f>599.79/1000</f>
        <v>0.5997899999999999</v>
      </c>
      <c r="AE21" s="62">
        <f>AC21*AD21</f>
        <v>81.57144</v>
      </c>
      <c r="AG21" s="34">
        <v>27</v>
      </c>
    </row>
    <row r="22" spans="1:33" ht="14.25">
      <c r="A22" s="2">
        <v>43544</v>
      </c>
      <c r="B22" s="4">
        <f>91*2+2</f>
        <v>184</v>
      </c>
      <c r="C22" s="34">
        <f>B22*AD22</f>
        <v>110.36135999999999</v>
      </c>
      <c r="D22" s="4">
        <f>21.5+10</f>
        <v>31.5</v>
      </c>
      <c r="E22" s="34">
        <f>D22*AD22</f>
        <v>18.893385</v>
      </c>
      <c r="F22" s="4">
        <v>24</v>
      </c>
      <c r="G22" s="34">
        <f>F22*AD22</f>
        <v>14.394959999999998</v>
      </c>
      <c r="H22" s="4"/>
      <c r="I22" s="34">
        <f>H22*AD22</f>
        <v>0</v>
      </c>
      <c r="J22" s="4">
        <v>30</v>
      </c>
      <c r="K22" s="34">
        <f>J22*AD22</f>
        <v>17.993699999999997</v>
      </c>
      <c r="L22" s="4">
        <v>62</v>
      </c>
      <c r="M22" s="34">
        <f>L22*AD22</f>
        <v>37.18698</v>
      </c>
      <c r="O22" s="34">
        <f>N22*AD22</f>
        <v>0</v>
      </c>
      <c r="Q22" s="34">
        <f>P22*AD22</f>
        <v>0</v>
      </c>
      <c r="R22" s="4"/>
      <c r="S22" s="4"/>
      <c r="T22" s="4" t="s">
        <v>148</v>
      </c>
      <c r="U22" s="4"/>
      <c r="V22" s="4"/>
      <c r="W22" s="4"/>
      <c r="X22" s="4"/>
      <c r="Y22" s="4"/>
      <c r="Z22" s="4"/>
      <c r="AA22" s="4"/>
      <c r="AB22" s="4" t="s">
        <v>210</v>
      </c>
      <c r="AC22" s="34">
        <f>B22+D22+F22+H22+J22+L22+N22+P22</f>
        <v>331.5</v>
      </c>
      <c r="AD22" s="62">
        <f>599.79/1000</f>
        <v>0.5997899999999999</v>
      </c>
      <c r="AE22" s="62">
        <f>AC22*AD22</f>
        <v>198.83038499999998</v>
      </c>
      <c r="AG22" s="34">
        <v>27</v>
      </c>
    </row>
    <row r="23" spans="1:33" ht="14.25">
      <c r="A23" s="2">
        <v>43545</v>
      </c>
      <c r="B23" s="4"/>
      <c r="C23" s="34">
        <f>B23*AD23</f>
        <v>0</v>
      </c>
      <c r="D23" s="4">
        <f>60+10</f>
        <v>70</v>
      </c>
      <c r="E23" s="34">
        <f>D23*AD23</f>
        <v>41.985299999999995</v>
      </c>
      <c r="F23" s="4">
        <v>24</v>
      </c>
      <c r="G23" s="34">
        <f>F23*AD23</f>
        <v>14.394959999999998</v>
      </c>
      <c r="H23" s="4"/>
      <c r="I23" s="34">
        <f>H23*AD23</f>
        <v>0</v>
      </c>
      <c r="J23" s="4"/>
      <c r="K23" s="34">
        <f>J23*AD23</f>
        <v>0</v>
      </c>
      <c r="L23" s="4">
        <v>62</v>
      </c>
      <c r="M23" s="34">
        <f>L23*AD23</f>
        <v>37.18698</v>
      </c>
      <c r="N23" s="34">
        <v>35</v>
      </c>
      <c r="O23" s="34">
        <f>N23*AD23</f>
        <v>20.992649999999998</v>
      </c>
      <c r="Q23" s="34">
        <f>P23*AD23</f>
        <v>0</v>
      </c>
      <c r="R23" s="4"/>
      <c r="S23" s="4"/>
      <c r="T23" s="4" t="s">
        <v>148</v>
      </c>
      <c r="U23" s="4"/>
      <c r="V23" s="4"/>
      <c r="W23" s="4"/>
      <c r="X23" s="4"/>
      <c r="Y23" s="4"/>
      <c r="Z23" s="4"/>
      <c r="AA23" s="4"/>
      <c r="AB23" s="4" t="s">
        <v>210</v>
      </c>
      <c r="AC23" s="34">
        <f>B23+D23+F23+H23+J23+L23+N23+P23</f>
        <v>191</v>
      </c>
      <c r="AD23" s="62">
        <f>599.79/1000</f>
        <v>0.5997899999999999</v>
      </c>
      <c r="AE23" s="62">
        <f>AC23*AD23</f>
        <v>114.55988999999998</v>
      </c>
      <c r="AG23" s="34">
        <v>27</v>
      </c>
    </row>
    <row r="24" spans="1:33" ht="14.25">
      <c r="A24" s="2">
        <v>43546</v>
      </c>
      <c r="B24" s="4">
        <f>60*2</f>
        <v>120</v>
      </c>
      <c r="C24" s="34">
        <f>B24*AD24</f>
        <v>71.97479999999999</v>
      </c>
      <c r="D24" s="4">
        <v>28</v>
      </c>
      <c r="E24" s="34">
        <f>D24*AD24</f>
        <v>16.79412</v>
      </c>
      <c r="F24" s="4">
        <v>30</v>
      </c>
      <c r="G24" s="34">
        <f>F24*AD24</f>
        <v>17.993699999999997</v>
      </c>
      <c r="H24" s="4"/>
      <c r="I24" s="34">
        <f>H24*AD24</f>
        <v>0</v>
      </c>
      <c r="J24" s="4"/>
      <c r="K24" s="34">
        <f>J24*AD24</f>
        <v>0</v>
      </c>
      <c r="L24" s="4">
        <v>80</v>
      </c>
      <c r="M24" s="34">
        <f>L24*AD24</f>
        <v>47.9832</v>
      </c>
      <c r="O24" s="34">
        <f>N24*AD24</f>
        <v>0</v>
      </c>
      <c r="Q24" s="34">
        <f>P24*AD24</f>
        <v>0</v>
      </c>
      <c r="R24" s="4"/>
      <c r="S24" s="4"/>
      <c r="T24" s="4" t="s">
        <v>148</v>
      </c>
      <c r="U24" s="4"/>
      <c r="V24" s="4"/>
      <c r="W24" s="4"/>
      <c r="X24" s="4"/>
      <c r="Y24" s="4"/>
      <c r="Z24" s="4"/>
      <c r="AA24" s="4"/>
      <c r="AB24" s="4" t="s">
        <v>211</v>
      </c>
      <c r="AC24" s="34">
        <f>B24+D24+F24+H24+J24+L24+N24+P24</f>
        <v>258</v>
      </c>
      <c r="AD24" s="62">
        <f>599.79/1000</f>
        <v>0.5997899999999999</v>
      </c>
      <c r="AE24" s="62">
        <f>AC24*AD24</f>
        <v>154.74581999999998</v>
      </c>
      <c r="AG24" s="34">
        <v>27</v>
      </c>
    </row>
    <row r="25" spans="1:33" ht="14.25">
      <c r="A25" s="2">
        <v>43547</v>
      </c>
      <c r="B25" s="4"/>
      <c r="C25" s="34">
        <f>B25*AD25</f>
        <v>0</v>
      </c>
      <c r="D25" s="4">
        <v>22</v>
      </c>
      <c r="E25" s="34">
        <f>D25*AD25</f>
        <v>13.195379999999998</v>
      </c>
      <c r="F25" s="4">
        <v>30</v>
      </c>
      <c r="G25" s="34">
        <f>F25*AD25</f>
        <v>17.993699999999997</v>
      </c>
      <c r="H25" s="4"/>
      <c r="I25" s="34">
        <f>H25*AD25</f>
        <v>0</v>
      </c>
      <c r="J25" s="4"/>
      <c r="K25" s="34">
        <f>J25*AD25</f>
        <v>0</v>
      </c>
      <c r="L25" s="4">
        <v>80</v>
      </c>
      <c r="M25" s="34">
        <f>L25*AD25</f>
        <v>47.9832</v>
      </c>
      <c r="O25" s="34">
        <f>N25*AD25</f>
        <v>0</v>
      </c>
      <c r="Q25" s="34">
        <f>P25*AD25</f>
        <v>0</v>
      </c>
      <c r="R25" s="4"/>
      <c r="S25" s="4"/>
      <c r="T25" s="4" t="s">
        <v>148</v>
      </c>
      <c r="U25" s="4"/>
      <c r="V25" s="4"/>
      <c r="W25" s="4"/>
      <c r="X25" s="4"/>
      <c r="Y25" s="4"/>
      <c r="Z25" s="4"/>
      <c r="AA25" s="4"/>
      <c r="AB25" s="4" t="s">
        <v>212</v>
      </c>
      <c r="AC25" s="34">
        <f>B25+D25+F25+H25+J25+L25+N25+P25</f>
        <v>132</v>
      </c>
      <c r="AD25" s="62">
        <f>599.79/1000</f>
        <v>0.5997899999999999</v>
      </c>
      <c r="AE25" s="62">
        <f>AC25*AD25</f>
        <v>79.17227999999999</v>
      </c>
      <c r="AG25" s="34">
        <v>27</v>
      </c>
    </row>
    <row r="26" spans="1:33" ht="14.25">
      <c r="A26" s="2">
        <v>43548</v>
      </c>
      <c r="B26" s="4"/>
      <c r="C26" s="34">
        <f>B26*AD26</f>
        <v>0</v>
      </c>
      <c r="D26" s="4">
        <v>8</v>
      </c>
      <c r="E26" s="34">
        <f>D26*AD26</f>
        <v>4.7983199999999995</v>
      </c>
      <c r="F26" s="4"/>
      <c r="G26" s="34">
        <f>F26*AD26</f>
        <v>0</v>
      </c>
      <c r="H26" s="4"/>
      <c r="I26" s="34">
        <f>H26*AD26</f>
        <v>0</v>
      </c>
      <c r="J26" s="4"/>
      <c r="K26" s="34">
        <f>J26*AD26</f>
        <v>0</v>
      </c>
      <c r="L26" s="4"/>
      <c r="M26" s="34">
        <f>L26*AD26</f>
        <v>0</v>
      </c>
      <c r="O26" s="34">
        <f>N26*AD26</f>
        <v>0</v>
      </c>
      <c r="Q26" s="34">
        <f>P26*AD26</f>
        <v>0</v>
      </c>
      <c r="R26" s="4"/>
      <c r="S26" s="4"/>
      <c r="T26" s="4" t="s">
        <v>148</v>
      </c>
      <c r="U26" s="4"/>
      <c r="V26" s="4"/>
      <c r="W26" s="4"/>
      <c r="X26" s="4"/>
      <c r="Y26" s="4"/>
      <c r="Z26" s="4"/>
      <c r="AA26" s="4">
        <v>2</v>
      </c>
      <c r="AB26" s="4" t="s">
        <v>213</v>
      </c>
      <c r="AC26" s="34">
        <f>B26+D26+F26+H26+J26+L26+N26+P26</f>
        <v>8</v>
      </c>
      <c r="AD26" s="62">
        <f>599.79/1000</f>
        <v>0.5997899999999999</v>
      </c>
      <c r="AE26" s="62">
        <f>AC26*AD26</f>
        <v>4.7983199999999995</v>
      </c>
      <c r="AG26" s="34">
        <v>27</v>
      </c>
    </row>
    <row r="27" spans="1:33" ht="14.25">
      <c r="A27" s="2">
        <v>43549</v>
      </c>
      <c r="B27" s="4">
        <f>85*2+4+4</f>
        <v>178</v>
      </c>
      <c r="C27" s="34">
        <f>B27*AD27</f>
        <v>106.76261999999998</v>
      </c>
      <c r="D27" s="4">
        <v>51.5</v>
      </c>
      <c r="E27" s="34">
        <f>D27*AD27</f>
        <v>30.889184999999998</v>
      </c>
      <c r="F27" s="4">
        <v>20</v>
      </c>
      <c r="G27" s="34">
        <f>F27*AD27</f>
        <v>11.9958</v>
      </c>
      <c r="H27" s="4"/>
      <c r="I27" s="34">
        <f>H27*AD27</f>
        <v>0</v>
      </c>
      <c r="J27" s="4"/>
      <c r="K27" s="34">
        <f>J27*AD27</f>
        <v>0</v>
      </c>
      <c r="L27" s="4">
        <v>87</v>
      </c>
      <c r="M27" s="34">
        <f>L27*AD27</f>
        <v>52.181729999999995</v>
      </c>
      <c r="O27" s="34">
        <f>N27*AD27</f>
        <v>0</v>
      </c>
      <c r="Q27" s="34">
        <f>P27*AD27</f>
        <v>0</v>
      </c>
      <c r="R27" s="4"/>
      <c r="S27" s="4"/>
      <c r="T27" s="4" t="s">
        <v>148</v>
      </c>
      <c r="U27" s="4"/>
      <c r="V27" s="4"/>
      <c r="W27" s="4"/>
      <c r="X27" s="4"/>
      <c r="Y27" s="4"/>
      <c r="Z27" s="4"/>
      <c r="AA27" s="4"/>
      <c r="AB27" s="4" t="s">
        <v>214</v>
      </c>
      <c r="AC27" s="34">
        <f>B27+D27+F27+H27+J27+L27+N27+P27</f>
        <v>336.5</v>
      </c>
      <c r="AD27" s="62">
        <f>599.79/1000</f>
        <v>0.5997899999999999</v>
      </c>
      <c r="AE27" s="62">
        <f>AC27*AD27</f>
        <v>201.829335</v>
      </c>
      <c r="AG27" s="34">
        <v>27</v>
      </c>
    </row>
    <row r="28" spans="1:33" ht="14.25">
      <c r="A28" s="2">
        <v>43550</v>
      </c>
      <c r="B28" s="4"/>
      <c r="C28" s="34">
        <f>B28*AD28</f>
        <v>0</v>
      </c>
      <c r="D28" s="4">
        <f>8.5</f>
        <v>8.5</v>
      </c>
      <c r="E28" s="34">
        <f>D28*AD28</f>
        <v>5.098215</v>
      </c>
      <c r="F28" s="4">
        <v>24</v>
      </c>
      <c r="G28" s="34">
        <f>F28*AD28</f>
        <v>14.394959999999998</v>
      </c>
      <c r="H28" s="4"/>
      <c r="I28" s="34">
        <f>H28*AD28</f>
        <v>0</v>
      </c>
      <c r="J28" s="4"/>
      <c r="K28" s="34">
        <f>J28*AD28</f>
        <v>0</v>
      </c>
      <c r="L28" s="4">
        <v>87</v>
      </c>
      <c r="M28" s="34">
        <f>L28*AD28</f>
        <v>52.181729999999995</v>
      </c>
      <c r="N28" s="34">
        <v>90</v>
      </c>
      <c r="O28" s="34">
        <f>N28*AD28</f>
        <v>53.98109999999999</v>
      </c>
      <c r="Q28" s="34">
        <f>P28*AD28</f>
        <v>0</v>
      </c>
      <c r="R28" s="4"/>
      <c r="S28" s="4"/>
      <c r="T28" s="4" t="s">
        <v>148</v>
      </c>
      <c r="U28" s="4"/>
      <c r="V28" s="4"/>
      <c r="W28" s="4"/>
      <c r="X28" s="4"/>
      <c r="Y28" s="4"/>
      <c r="Z28" s="4"/>
      <c r="AA28" s="4"/>
      <c r="AB28" s="4" t="s">
        <v>215</v>
      </c>
      <c r="AC28" s="34">
        <f>B28+D28+F28+H28+J28+L28+N28+P28</f>
        <v>209.5</v>
      </c>
      <c r="AD28" s="62">
        <f>599.79/1000</f>
        <v>0.5997899999999999</v>
      </c>
      <c r="AE28" s="62">
        <f>AC28*AD28</f>
        <v>125.656005</v>
      </c>
      <c r="AG28" s="34">
        <v>27</v>
      </c>
    </row>
    <row r="29" spans="1:33" ht="14.25">
      <c r="A29" s="2">
        <v>43551</v>
      </c>
      <c r="B29" s="4">
        <f>2*8</f>
        <v>16</v>
      </c>
      <c r="C29" s="34">
        <f>B29*AD29</f>
        <v>9.596639999999999</v>
      </c>
      <c r="D29" s="4">
        <f>35+7</f>
        <v>42</v>
      </c>
      <c r="E29" s="34">
        <f>D29*AD29</f>
        <v>25.191179999999996</v>
      </c>
      <c r="F29" s="4">
        <f>13*2</f>
        <v>26</v>
      </c>
      <c r="G29" s="34">
        <f>F29*AD29</f>
        <v>15.594539999999999</v>
      </c>
      <c r="H29" s="4">
        <f>55*2</f>
        <v>110</v>
      </c>
      <c r="I29" s="34">
        <f>H29*AD29</f>
        <v>65.97689999999999</v>
      </c>
      <c r="J29" s="4"/>
      <c r="K29" s="34">
        <f>J29*AD29</f>
        <v>0</v>
      </c>
      <c r="L29" s="4">
        <v>87</v>
      </c>
      <c r="M29" s="34">
        <f>L29*AD29</f>
        <v>52.181729999999995</v>
      </c>
      <c r="O29" s="34">
        <f>N29*AD29</f>
        <v>0</v>
      </c>
      <c r="Q29" s="34">
        <f>P29*AD29</f>
        <v>0</v>
      </c>
      <c r="R29" s="4"/>
      <c r="S29" s="4"/>
      <c r="T29" s="4" t="s">
        <v>148</v>
      </c>
      <c r="U29" s="4"/>
      <c r="V29" s="4"/>
      <c r="W29" s="4"/>
      <c r="X29" s="4"/>
      <c r="Y29" s="4"/>
      <c r="Z29" s="4"/>
      <c r="AA29" s="4"/>
      <c r="AB29" s="4" t="s">
        <v>215</v>
      </c>
      <c r="AC29" s="34">
        <f>B29+D29+F29+H29+J29+L29+N29+P29</f>
        <v>281</v>
      </c>
      <c r="AD29" s="62">
        <f>599.79/1000</f>
        <v>0.5997899999999999</v>
      </c>
      <c r="AE29" s="62">
        <f>AC29*AD29</f>
        <v>168.54099</v>
      </c>
      <c r="AG29" s="34">
        <v>27</v>
      </c>
    </row>
    <row r="30" spans="1:33" ht="14.25">
      <c r="A30" s="2">
        <v>43552</v>
      </c>
      <c r="B30" s="4">
        <f>2+2+23.5+23.5+1+1+1+1</f>
        <v>55</v>
      </c>
      <c r="C30" s="34">
        <f>B30*AD30</f>
        <v>32.98844999999999</v>
      </c>
      <c r="D30" s="4">
        <f>15.5+4+6</f>
        <v>25.5</v>
      </c>
      <c r="E30" s="34">
        <f>D30*AD30</f>
        <v>15.294645</v>
      </c>
      <c r="F30" s="4">
        <v>24</v>
      </c>
      <c r="G30" s="34">
        <f>F30*AD30</f>
        <v>14.394959999999998</v>
      </c>
      <c r="H30" s="4"/>
      <c r="I30" s="34">
        <f>H30*AD30</f>
        <v>0</v>
      </c>
      <c r="J30" s="4"/>
      <c r="K30" s="34">
        <f>J30*AD30</f>
        <v>0</v>
      </c>
      <c r="L30" s="4">
        <v>81</v>
      </c>
      <c r="M30" s="34">
        <f>L30*AD30</f>
        <v>48.582989999999995</v>
      </c>
      <c r="O30" s="34">
        <f>N30*AD30</f>
        <v>0</v>
      </c>
      <c r="Q30" s="34">
        <f>P30*AD30</f>
        <v>0</v>
      </c>
      <c r="R30" s="4"/>
      <c r="S30" s="4"/>
      <c r="T30" s="4" t="s">
        <v>148</v>
      </c>
      <c r="U30" s="4"/>
      <c r="V30" s="4"/>
      <c r="W30" s="4"/>
      <c r="X30" s="4"/>
      <c r="Y30" s="4"/>
      <c r="Z30" s="4"/>
      <c r="AA30" s="4"/>
      <c r="AB30" s="4" t="s">
        <v>216</v>
      </c>
      <c r="AC30" s="34">
        <f>B30+D30+F30+H30+J30+L30+N30+P30</f>
        <v>185.5</v>
      </c>
      <c r="AD30" s="62">
        <f>599.79/1000</f>
        <v>0.5997899999999999</v>
      </c>
      <c r="AE30" s="62">
        <f>AC30*AD30</f>
        <v>111.26104499999998</v>
      </c>
      <c r="AG30" s="34">
        <v>27</v>
      </c>
    </row>
    <row r="31" spans="1:33" ht="14.25">
      <c r="A31" s="2">
        <v>43553</v>
      </c>
      <c r="B31" s="4">
        <f>11*4+2+2+1+1</f>
        <v>50</v>
      </c>
      <c r="C31" s="34">
        <f>B31*AD31</f>
        <v>29.989499999999996</v>
      </c>
      <c r="D31" s="4">
        <f>33.5+6</f>
        <v>39.5</v>
      </c>
      <c r="E31" s="34">
        <f>D31*AD31</f>
        <v>23.691705</v>
      </c>
      <c r="F31" s="4">
        <v>24</v>
      </c>
      <c r="G31" s="34">
        <f>F31*AD31</f>
        <v>14.394959999999998</v>
      </c>
      <c r="H31" s="4">
        <f>40*2+35*2</f>
        <v>150</v>
      </c>
      <c r="I31" s="34">
        <f>H31*AD31</f>
        <v>89.96849999999999</v>
      </c>
      <c r="J31" s="4"/>
      <c r="K31" s="34">
        <f>J31*AD31</f>
        <v>0</v>
      </c>
      <c r="L31" s="4">
        <v>81</v>
      </c>
      <c r="M31" s="34">
        <f>L31*AD31</f>
        <v>48.582989999999995</v>
      </c>
      <c r="O31" s="34">
        <f>N31*AD31</f>
        <v>0</v>
      </c>
      <c r="Q31" s="34">
        <f>P31*AD31</f>
        <v>0</v>
      </c>
      <c r="R31" s="4"/>
      <c r="S31" s="4"/>
      <c r="T31" s="4" t="s">
        <v>148</v>
      </c>
      <c r="U31" s="4"/>
      <c r="V31" s="4"/>
      <c r="W31" s="4"/>
      <c r="X31" s="4"/>
      <c r="Y31" s="4"/>
      <c r="Z31" s="4"/>
      <c r="AA31" s="4"/>
      <c r="AB31" s="4" t="s">
        <v>217</v>
      </c>
      <c r="AC31" s="34">
        <f>B31+D31+F31+H31+J31+L31+N31+P31</f>
        <v>344.5</v>
      </c>
      <c r="AD31" s="62">
        <f>599.79/1000</f>
        <v>0.5997899999999999</v>
      </c>
      <c r="AE31" s="62">
        <f>AC31*AD31</f>
        <v>206.62765499999998</v>
      </c>
      <c r="AG31" s="34">
        <v>27</v>
      </c>
    </row>
    <row r="32" spans="1:33" ht="14.25">
      <c r="A32" s="2">
        <v>43554</v>
      </c>
      <c r="B32" s="4">
        <f>21.5*2+46.5*2</f>
        <v>136</v>
      </c>
      <c r="C32" s="34">
        <f>B32*AD32</f>
        <v>81.57144</v>
      </c>
      <c r="D32" s="4">
        <v>9.5</v>
      </c>
      <c r="E32" s="34">
        <f>D32*AD32</f>
        <v>5.698004999999999</v>
      </c>
      <c r="F32" s="4">
        <v>18</v>
      </c>
      <c r="G32" s="34">
        <f>F32*AD32</f>
        <v>10.796219999999998</v>
      </c>
      <c r="H32" s="4"/>
      <c r="I32" s="34">
        <f>H32*AD32</f>
        <v>0</v>
      </c>
      <c r="J32" s="4"/>
      <c r="K32" s="34">
        <f>J32*AD32</f>
        <v>0</v>
      </c>
      <c r="L32" s="4">
        <v>81</v>
      </c>
      <c r="M32" s="34">
        <f>L32*AD32</f>
        <v>48.582989999999995</v>
      </c>
      <c r="O32" s="34">
        <f>N32*AD32</f>
        <v>0</v>
      </c>
      <c r="Q32" s="34">
        <f>P32*AD32</f>
        <v>0</v>
      </c>
      <c r="R32" s="4"/>
      <c r="S32" s="4"/>
      <c r="T32" s="4" t="s">
        <v>148</v>
      </c>
      <c r="U32" s="4"/>
      <c r="V32" s="4"/>
      <c r="W32" s="4"/>
      <c r="X32" s="4"/>
      <c r="Y32" s="4"/>
      <c r="Z32" s="4"/>
      <c r="AA32" s="4"/>
      <c r="AB32" s="4" t="s">
        <v>218</v>
      </c>
      <c r="AC32" s="34">
        <f>B32+D32+F32+H32+J32+L32+N32+P32</f>
        <v>244.5</v>
      </c>
      <c r="AD32" s="62">
        <f>599.79/1000</f>
        <v>0.5997899999999999</v>
      </c>
      <c r="AE32" s="62">
        <f>AC32*AD32</f>
        <v>146.648655</v>
      </c>
      <c r="AG32" s="34">
        <v>27</v>
      </c>
    </row>
    <row r="33" spans="1:33" ht="14.25">
      <c r="A33" s="2">
        <v>43555</v>
      </c>
      <c r="B33" s="4">
        <f>2+2+4+4</f>
        <v>12</v>
      </c>
      <c r="C33" s="34">
        <f>B33*AD33</f>
        <v>7.197479999999999</v>
      </c>
      <c r="D33" s="4">
        <f>23+4.5+6</f>
        <v>33.5</v>
      </c>
      <c r="E33" s="34">
        <f>D33*AD33</f>
        <v>20.092965</v>
      </c>
      <c r="F33" s="4">
        <v>24</v>
      </c>
      <c r="G33" s="34">
        <f>F33*AD33</f>
        <v>14.394959999999998</v>
      </c>
      <c r="H33" s="4"/>
      <c r="I33" s="34">
        <f>H33*AD33</f>
        <v>0</v>
      </c>
      <c r="J33" s="4"/>
      <c r="K33" s="34">
        <f>J33*AD33</f>
        <v>0</v>
      </c>
      <c r="L33" s="4">
        <v>69</v>
      </c>
      <c r="M33" s="34">
        <f>L33*AD33</f>
        <v>41.38551</v>
      </c>
      <c r="O33" s="34">
        <f>N33*AD33</f>
        <v>0</v>
      </c>
      <c r="Q33" s="34">
        <f>P33*AD33</f>
        <v>0</v>
      </c>
      <c r="Y33" s="34" t="s">
        <v>148</v>
      </c>
      <c r="AB33" s="34" t="s">
        <v>219</v>
      </c>
      <c r="AC33" s="34">
        <f>B33+D33+F33+H33+J33+L33+N33+P33</f>
        <v>138.5</v>
      </c>
      <c r="AD33" s="62">
        <f>599.79/1000</f>
        <v>0.5997899999999999</v>
      </c>
      <c r="AE33" s="62">
        <f>AC33*AD33</f>
        <v>83.07091499999999</v>
      </c>
      <c r="AG33" s="34">
        <v>27</v>
      </c>
    </row>
    <row r="34" spans="1:33" ht="14.25">
      <c r="A34" s="4"/>
      <c r="B34" s="4"/>
      <c r="C34" s="34">
        <f>B34*AD34</f>
        <v>0</v>
      </c>
      <c r="D34" s="4"/>
      <c r="E34" s="34">
        <f>D34*AD34</f>
        <v>0</v>
      </c>
      <c r="F34" s="4"/>
      <c r="G34" s="34">
        <f>F34*AD34</f>
        <v>0</v>
      </c>
      <c r="H34" s="4"/>
      <c r="I34" s="34">
        <f>H34*AD34</f>
        <v>0</v>
      </c>
      <c r="J34" s="4"/>
      <c r="K34" s="34">
        <f>J34*AD34</f>
        <v>0</v>
      </c>
      <c r="L34" s="4"/>
      <c r="M34" s="34">
        <f>L34*AD34</f>
        <v>0</v>
      </c>
      <c r="O34" s="34">
        <f>N34*AD34</f>
        <v>0</v>
      </c>
      <c r="Q34" s="34">
        <f>P34*AD34</f>
        <v>0</v>
      </c>
      <c r="AC34" s="34">
        <f>B34+D34+F34+H34+J34+L34+N34+P34</f>
        <v>0</v>
      </c>
      <c r="AD34" s="62">
        <f>599.79/1000</f>
        <v>0.5997899999999999</v>
      </c>
      <c r="AE34" s="62">
        <f>AC34*AD34</f>
        <v>0</v>
      </c>
      <c r="AG34" s="34">
        <v>27</v>
      </c>
    </row>
    <row r="35" spans="1:33" ht="14.25">
      <c r="A35" s="4"/>
      <c r="B35" s="4"/>
      <c r="C35" s="34">
        <f>B35*AD35</f>
        <v>0</v>
      </c>
      <c r="D35" s="4"/>
      <c r="E35" s="34">
        <f>D35*AD35</f>
        <v>0</v>
      </c>
      <c r="F35" s="4"/>
      <c r="G35" s="34">
        <f>F35*AD35</f>
        <v>0</v>
      </c>
      <c r="H35" s="4"/>
      <c r="I35" s="34">
        <f>H35*AD35</f>
        <v>0</v>
      </c>
      <c r="J35" s="4"/>
      <c r="K35" s="34">
        <f>J35*AD35</f>
        <v>0</v>
      </c>
      <c r="L35" s="4"/>
      <c r="M35" s="34">
        <f>L35*AD35</f>
        <v>0</v>
      </c>
      <c r="O35" s="34">
        <f>N35*AD35</f>
        <v>0</v>
      </c>
      <c r="Q35" s="34">
        <f>P35*AD35</f>
        <v>0</v>
      </c>
      <c r="AC35" s="34">
        <f>B35+D35+F35+H35+J35+L35+N35+P35</f>
        <v>0</v>
      </c>
      <c r="AD35" s="62">
        <f>599.79/1000</f>
        <v>0.5997899999999999</v>
      </c>
      <c r="AE35" s="62">
        <f>AC35*AD35</f>
        <v>0</v>
      </c>
      <c r="AG35" s="34">
        <v>27</v>
      </c>
    </row>
    <row r="36" spans="1:31" ht="14.25">
      <c r="A36" s="4"/>
      <c r="B36" s="4"/>
      <c r="C36" s="34">
        <f>B36*AD36</f>
        <v>0</v>
      </c>
      <c r="D36" s="4"/>
      <c r="E36" s="34">
        <f>D36*AD36</f>
        <v>0</v>
      </c>
      <c r="F36" s="4"/>
      <c r="G36" s="34">
        <f>F36*AD36</f>
        <v>0</v>
      </c>
      <c r="H36" s="4"/>
      <c r="I36" s="34">
        <f>H36*AD36</f>
        <v>0</v>
      </c>
      <c r="J36" s="4"/>
      <c r="K36" s="34">
        <f>J36*AD36</f>
        <v>0</v>
      </c>
      <c r="L36" s="4"/>
      <c r="M36" s="34">
        <f>L36*AD36</f>
        <v>0</v>
      </c>
      <c r="O36" s="34">
        <f>N36*AD36</f>
        <v>0</v>
      </c>
      <c r="Q36" s="34">
        <f>P36*AD36</f>
        <v>0</v>
      </c>
      <c r="AC36" s="34">
        <f>B36+D36+F36+H36+J36+L36+N36+P36</f>
        <v>0</v>
      </c>
      <c r="AD36" s="34">
        <v>0.07063000000000001</v>
      </c>
      <c r="AE36" s="62">
        <f>AC36*AD36</f>
        <v>0</v>
      </c>
    </row>
    <row r="37" spans="1:31" ht="14.25">
      <c r="A37" s="4"/>
      <c r="B37" s="4"/>
      <c r="C37" s="34">
        <f>B37*AD37</f>
        <v>0</v>
      </c>
      <c r="D37" s="4"/>
      <c r="E37" s="34">
        <f>D37*AD37</f>
        <v>0</v>
      </c>
      <c r="F37" s="4"/>
      <c r="G37" s="34">
        <f>F37*AD37</f>
        <v>0</v>
      </c>
      <c r="H37" s="4"/>
      <c r="I37" s="34">
        <f>H37*AD37</f>
        <v>0</v>
      </c>
      <c r="J37" s="4"/>
      <c r="K37" s="34">
        <f>J37*AD37</f>
        <v>0</v>
      </c>
      <c r="L37" s="4"/>
      <c r="M37" s="34">
        <f>L37*AD37</f>
        <v>0</v>
      </c>
      <c r="O37" s="34">
        <f>N37*AD37</f>
        <v>0</v>
      </c>
      <c r="Q37" s="34">
        <f>P37*AD37</f>
        <v>0</v>
      </c>
      <c r="AC37" s="34">
        <f>B37+D37+F37+H37+J37+L37+N37+P37</f>
        <v>0</v>
      </c>
      <c r="AD37" s="34">
        <v>0.07063000000000001</v>
      </c>
      <c r="AE37" s="62">
        <f>AC37*AD37</f>
        <v>0</v>
      </c>
    </row>
    <row r="38" spans="1:45" ht="14.25">
      <c r="A38" s="4"/>
      <c r="B38" s="4"/>
      <c r="C38" s="34">
        <f>B38*AD38</f>
        <v>0</v>
      </c>
      <c r="D38" s="4"/>
      <c r="E38" s="34">
        <f>D38*AD38</f>
        <v>0</v>
      </c>
      <c r="F38" s="4"/>
      <c r="G38" s="34">
        <f>F38*AD38</f>
        <v>0</v>
      </c>
      <c r="H38" s="4"/>
      <c r="I38" s="34">
        <f>H38*AD38</f>
        <v>0</v>
      </c>
      <c r="J38" s="4"/>
      <c r="K38" s="34">
        <f>J38*AD38</f>
        <v>0</v>
      </c>
      <c r="L38" s="4"/>
      <c r="M38" s="34">
        <f>L38*AD38</f>
        <v>0</v>
      </c>
      <c r="O38" s="34">
        <f>N38*AD38</f>
        <v>0</v>
      </c>
      <c r="Q38" s="34">
        <f>P38*AD38</f>
        <v>0</v>
      </c>
      <c r="AC38" s="34">
        <f>B38+D38+F38+H38+J38+L38+N38+P38</f>
        <v>0</v>
      </c>
      <c r="AD38" s="34">
        <f>(693.63/600000)</f>
        <v>0.00115605</v>
      </c>
      <c r="AE38" s="62">
        <f>AC38*AD38</f>
        <v>0</v>
      </c>
      <c r="AS38" s="59"/>
    </row>
    <row r="39" spans="1:31" ht="14.25">
      <c r="A39"/>
      <c r="B39" s="4"/>
      <c r="C39" s="34">
        <f>B39*AD39</f>
        <v>0</v>
      </c>
      <c r="D39" s="4"/>
      <c r="E39" s="34">
        <f>D39*AD39</f>
        <v>0</v>
      </c>
      <c r="F39" s="4"/>
      <c r="G39" s="34">
        <f>F39*AD39</f>
        <v>0</v>
      </c>
      <c r="H39" s="4"/>
      <c r="I39" s="34">
        <f>H39*AD39</f>
        <v>0</v>
      </c>
      <c r="J39" s="4"/>
      <c r="K39" s="34">
        <f>J39*AD39</f>
        <v>0</v>
      </c>
      <c r="L39" s="4"/>
      <c r="M39" s="34">
        <f>L39*AD39</f>
        <v>0</v>
      </c>
      <c r="O39" s="34">
        <f>N39*AD39</f>
        <v>0</v>
      </c>
      <c r="Q39" s="34">
        <f>P39*AD39</f>
        <v>0</v>
      </c>
      <c r="AC39" s="34">
        <f>B39+D39+F39+H39+J39+L39+N39+P39</f>
        <v>0</v>
      </c>
      <c r="AD39" s="34">
        <f>(693.63/600000)</f>
        <v>0.00115605</v>
      </c>
      <c r="AE39" s="62">
        <f>AC39*AD39</f>
        <v>0</v>
      </c>
    </row>
    <row r="40" spans="1:31" ht="14.25">
      <c r="A40"/>
      <c r="B40" s="4"/>
      <c r="C40" s="34">
        <f>B40*AD40</f>
        <v>0</v>
      </c>
      <c r="D40" s="4"/>
      <c r="E40" s="34">
        <f>D40*AD40</f>
        <v>0</v>
      </c>
      <c r="F40" s="4"/>
      <c r="G40" s="34">
        <f>F40*AD40</f>
        <v>0</v>
      </c>
      <c r="H40" s="4"/>
      <c r="I40" s="34">
        <f>H40*AD40</f>
        <v>0</v>
      </c>
      <c r="J40" s="4"/>
      <c r="K40" s="34">
        <f>J40*AD40</f>
        <v>0</v>
      </c>
      <c r="L40" s="4"/>
      <c r="M40" s="34">
        <f>L40*AD40</f>
        <v>0</v>
      </c>
      <c r="O40" s="34">
        <f>N40*AD40</f>
        <v>0</v>
      </c>
      <c r="Q40" s="34">
        <f>P40*AD40</f>
        <v>0</v>
      </c>
      <c r="AC40" s="34">
        <f>B40+D40+F40+H40+J40+L40+N40+P40</f>
        <v>0</v>
      </c>
      <c r="AD40" s="34">
        <f>(693.63/600000)</f>
        <v>0.00115605</v>
      </c>
      <c r="AE40" s="62">
        <f>AC40*AD40</f>
        <v>0</v>
      </c>
    </row>
    <row r="41" spans="1:31" ht="12.75">
      <c r="A41"/>
      <c r="B41" s="4"/>
      <c r="C41" s="34">
        <f>B41*AD41</f>
        <v>0</v>
      </c>
      <c r="D41" s="4"/>
      <c r="E41" s="34">
        <f>D41*AD41</f>
        <v>0</v>
      </c>
      <c r="F41" s="4"/>
      <c r="G41" s="34">
        <f>F41*AD41</f>
        <v>0</v>
      </c>
      <c r="H41" s="4"/>
      <c r="I41" s="34">
        <f>H41*AD41</f>
        <v>0</v>
      </c>
      <c r="J41" s="4"/>
      <c r="K41" s="34">
        <f>J41*AD41</f>
        <v>0</v>
      </c>
      <c r="L41" s="4"/>
      <c r="M41" s="34">
        <f>L41*AD41</f>
        <v>0</v>
      </c>
      <c r="O41" s="34">
        <f>N41*AD41</f>
        <v>0</v>
      </c>
      <c r="Q41" s="34">
        <f>P41*AD41</f>
        <v>0</v>
      </c>
      <c r="AC41" s="34">
        <f>B41+D41+F41+H41+J41+L41+N41+P41</f>
        <v>0</v>
      </c>
      <c r="AD41" s="34">
        <f>(693.63/600000)</f>
        <v>0.00115605</v>
      </c>
      <c r="AE41" s="62">
        <f>AC41*AD41</f>
        <v>0</v>
      </c>
    </row>
    <row r="42" spans="1:31" ht="12.75">
      <c r="A42"/>
      <c r="B42" s="4"/>
      <c r="C42" s="34">
        <f>B42*AD42</f>
        <v>0</v>
      </c>
      <c r="D42" s="4"/>
      <c r="E42" s="34">
        <f>D42*AD42</f>
        <v>0</v>
      </c>
      <c r="F42" s="4"/>
      <c r="G42" s="34">
        <f>F42*AD42</f>
        <v>0</v>
      </c>
      <c r="H42" s="4"/>
      <c r="I42" s="34">
        <f>H42*AD42</f>
        <v>0</v>
      </c>
      <c r="J42" s="4"/>
      <c r="K42" s="34">
        <f>J42*AD42</f>
        <v>0</v>
      </c>
      <c r="L42" s="4"/>
      <c r="M42" s="34">
        <f>L42*AD42</f>
        <v>0</v>
      </c>
      <c r="O42" s="34">
        <f>N42*AD42</f>
        <v>0</v>
      </c>
      <c r="Q42" s="34">
        <f>P42*AD42</f>
        <v>0</v>
      </c>
      <c r="AC42" s="34">
        <f>B42+D42+F42+H42+J42+L42+N42+P42</f>
        <v>0</v>
      </c>
      <c r="AD42" s="34">
        <f>(693.63/600000)</f>
        <v>0.00115605</v>
      </c>
      <c r="AE42" s="62">
        <f>AC42*AD42</f>
        <v>0</v>
      </c>
    </row>
    <row r="43" spans="1:31" ht="12.75">
      <c r="A43"/>
      <c r="B43" s="4"/>
      <c r="C43" s="34">
        <f>B43*AD43</f>
        <v>0</v>
      </c>
      <c r="D43" s="4"/>
      <c r="E43" s="34">
        <f>D43*AD43</f>
        <v>0</v>
      </c>
      <c r="F43" s="4"/>
      <c r="G43" s="34">
        <f>F43*AD43</f>
        <v>0</v>
      </c>
      <c r="H43" s="4"/>
      <c r="I43" s="34">
        <f>H43*AD43</f>
        <v>0</v>
      </c>
      <c r="K43" s="34">
        <f>J43*AD43</f>
        <v>0</v>
      </c>
      <c r="M43" s="34">
        <f>L43*AD43</f>
        <v>0</v>
      </c>
      <c r="O43" s="34">
        <f>N43*AD43</f>
        <v>0</v>
      </c>
      <c r="Q43" s="34">
        <f>P43*AD43</f>
        <v>0</v>
      </c>
      <c r="AC43" s="34">
        <f>B43+D43+F43+H43+J43+L43+N43+P43</f>
        <v>0</v>
      </c>
      <c r="AD43" s="34">
        <f>(693.63/600000)</f>
        <v>0.00115605</v>
      </c>
      <c r="AE43" s="62">
        <f>AC43*AD43</f>
        <v>0</v>
      </c>
    </row>
    <row r="44" spans="3:31" ht="12.75">
      <c r="C44" s="34">
        <f>B44*AD44</f>
        <v>0</v>
      </c>
      <c r="E44" s="34">
        <f>D44*AD44</f>
        <v>0</v>
      </c>
      <c r="G44" s="34">
        <f>F44*AD44</f>
        <v>0</v>
      </c>
      <c r="I44" s="34">
        <f>H44*AD44</f>
        <v>0</v>
      </c>
      <c r="K44" s="34">
        <f>J44*AD44</f>
        <v>0</v>
      </c>
      <c r="M44" s="34">
        <f>L44*AD44</f>
        <v>0</v>
      </c>
      <c r="O44" s="34">
        <f>N44*AD44</f>
        <v>0</v>
      </c>
      <c r="Q44" s="34">
        <f>P44*AD44</f>
        <v>0</v>
      </c>
      <c r="AC44" s="34">
        <f>B44+D44+F44+H44+J44+L44+N44+P44</f>
        <v>0</v>
      </c>
      <c r="AD44" s="34">
        <f>(693.63/600000)</f>
        <v>0.00115605</v>
      </c>
      <c r="AE44" s="62">
        <f>AC44*AD44</f>
        <v>0</v>
      </c>
    </row>
    <row r="45" spans="3:31" ht="12.75">
      <c r="C45" s="34">
        <f>B45*AD45</f>
        <v>0</v>
      </c>
      <c r="E45" s="34">
        <f>D45*AD45</f>
        <v>0</v>
      </c>
      <c r="G45" s="34">
        <f>F45*AD45</f>
        <v>0</v>
      </c>
      <c r="I45" s="34">
        <f>H45*AD45</f>
        <v>0</v>
      </c>
      <c r="K45" s="34">
        <f>J45*AD45</f>
        <v>0</v>
      </c>
      <c r="M45" s="34">
        <f>L45*AD45</f>
        <v>0</v>
      </c>
      <c r="O45" s="34">
        <f>N45*AD45</f>
        <v>0</v>
      </c>
      <c r="Q45" s="34">
        <f>P45*AD45</f>
        <v>0</v>
      </c>
      <c r="AC45" s="34">
        <f>B45+D45+F45+H45+J45+L45+N45+P45</f>
        <v>0</v>
      </c>
      <c r="AD45" s="34">
        <f>(693.63/600000)</f>
        <v>0.00115605</v>
      </c>
      <c r="AE45" s="62">
        <f>AC45*AD45</f>
        <v>0</v>
      </c>
    </row>
    <row r="46" spans="3:31" ht="12.75">
      <c r="C46" s="34">
        <f>B46*AD46</f>
        <v>0</v>
      </c>
      <c r="E46" s="34">
        <f>D46*AD46</f>
        <v>0</v>
      </c>
      <c r="G46" s="34">
        <f>F46*AD46</f>
        <v>0</v>
      </c>
      <c r="I46" s="34">
        <f>H46*AD46</f>
        <v>0</v>
      </c>
      <c r="K46" s="34">
        <f>J46*AD46</f>
        <v>0</v>
      </c>
      <c r="M46" s="34">
        <f>L46*AD46</f>
        <v>0</v>
      </c>
      <c r="O46" s="34">
        <f>N46*AD46</f>
        <v>0</v>
      </c>
      <c r="Q46" s="34">
        <f>P46*AD46</f>
        <v>0</v>
      </c>
      <c r="AC46" s="34">
        <f>B46+D46+F46+H46+J46+L46+N46+P46</f>
        <v>0</v>
      </c>
      <c r="AD46" s="34">
        <f>(693.63/600000)</f>
        <v>0.00115605</v>
      </c>
      <c r="AE46" s="62">
        <f>AC46*AD46</f>
        <v>0</v>
      </c>
    </row>
    <row r="47" spans="3:31" ht="12.75">
      <c r="C47" s="34">
        <f>B47*AD47</f>
        <v>0</v>
      </c>
      <c r="E47" s="34">
        <f>D47*AD47</f>
        <v>0</v>
      </c>
      <c r="G47" s="34">
        <f>F47*AD47</f>
        <v>0</v>
      </c>
      <c r="I47" s="34">
        <f>H47*AD47</f>
        <v>0</v>
      </c>
      <c r="K47" s="34">
        <f>J47*AD47</f>
        <v>0</v>
      </c>
      <c r="M47" s="34">
        <f>L47*AD47</f>
        <v>0</v>
      </c>
      <c r="O47" s="34">
        <f>N47*AD47</f>
        <v>0</v>
      </c>
      <c r="Q47" s="34">
        <f>P47*AD47</f>
        <v>0</v>
      </c>
      <c r="AC47" s="34">
        <f>B47+D47+F47+H47+J47+L47+N47+P47</f>
        <v>0</v>
      </c>
      <c r="AD47" s="34">
        <f>(693.63/600000)</f>
        <v>0.00115605</v>
      </c>
      <c r="AE47" s="40">
        <f>AC47*AD47</f>
        <v>0</v>
      </c>
    </row>
    <row r="48" spans="3:31" ht="12.75">
      <c r="C48" s="34">
        <f>B48*AD48</f>
        <v>0</v>
      </c>
      <c r="E48" s="34">
        <f>D48*AD48</f>
        <v>0</v>
      </c>
      <c r="G48" s="34">
        <f>F48*AD48</f>
        <v>0</v>
      </c>
      <c r="I48" s="34">
        <f>H48*AD48</f>
        <v>0</v>
      </c>
      <c r="K48" s="34">
        <f>J48*AD48</f>
        <v>0</v>
      </c>
      <c r="M48" s="34">
        <f>L48*AD48</f>
        <v>0</v>
      </c>
      <c r="O48" s="34">
        <f>N48*AD48</f>
        <v>0</v>
      </c>
      <c r="Q48" s="34">
        <f>P48*AD48</f>
        <v>0</v>
      </c>
      <c r="AC48" s="34">
        <f>B48+D48+F48+H48+J48+L48+N48+P48</f>
        <v>0</v>
      </c>
      <c r="AD48" s="34">
        <f>(693.63/600000)</f>
        <v>0.00115605</v>
      </c>
      <c r="AE48" s="40">
        <f>AC48*AD48</f>
        <v>0</v>
      </c>
    </row>
    <row r="49" spans="3:31" ht="12.75">
      <c r="C49" s="34">
        <f>B49*AD49</f>
        <v>0</v>
      </c>
      <c r="E49" s="34">
        <f>D49*AD49</f>
        <v>0</v>
      </c>
      <c r="G49" s="34">
        <f>F49*AD49</f>
        <v>0</v>
      </c>
      <c r="I49" s="34">
        <f>H49*AD49</f>
        <v>0</v>
      </c>
      <c r="K49" s="34">
        <f>J49*AD49</f>
        <v>0</v>
      </c>
      <c r="M49" s="34">
        <f>L49*AD49</f>
        <v>0</v>
      </c>
      <c r="O49" s="34">
        <f>N49*AD49</f>
        <v>0</v>
      </c>
      <c r="Q49" s="34">
        <f>P49*AD49</f>
        <v>0</v>
      </c>
      <c r="AC49" s="34">
        <f>B49+D49+F49+H49+J49+L49+N49</f>
        <v>0</v>
      </c>
      <c r="AD49" s="34">
        <v>0.0061</v>
      </c>
      <c r="AE49" s="40">
        <f>AC49*AD49</f>
        <v>0</v>
      </c>
    </row>
    <row r="50" spans="3:31" ht="12.75">
      <c r="C50" s="34">
        <f>B50*AD50</f>
        <v>0</v>
      </c>
      <c r="E50" s="34">
        <f>D50*AD50</f>
        <v>0</v>
      </c>
      <c r="G50" s="34">
        <f>F50*AD50</f>
        <v>0</v>
      </c>
      <c r="I50" s="34">
        <f>H50*AD50</f>
        <v>0</v>
      </c>
      <c r="K50" s="34">
        <f>J50*AD50</f>
        <v>0</v>
      </c>
      <c r="M50" s="34">
        <f>L50*AD50</f>
        <v>0</v>
      </c>
      <c r="O50" s="34">
        <f>N50*AD50</f>
        <v>0</v>
      </c>
      <c r="Q50" s="34">
        <f>P50*AD50</f>
        <v>0</v>
      </c>
      <c r="AC50" s="34">
        <f>B50+D50+F50+H50+J50+L50+N50</f>
        <v>0</v>
      </c>
      <c r="AD50" s="62">
        <f>539.17/3000000</f>
        <v>0.0001797233333333333</v>
      </c>
      <c r="AE50" s="40">
        <f>AC50*AD50</f>
        <v>0</v>
      </c>
    </row>
    <row r="51" spans="3:31" ht="12.75">
      <c r="C51" s="34">
        <f>B51*AD51</f>
        <v>0</v>
      </c>
      <c r="E51" s="34">
        <f>D51*AD51</f>
        <v>0</v>
      </c>
      <c r="G51" s="34">
        <f>F51*AD51</f>
        <v>0</v>
      </c>
      <c r="I51" s="34">
        <f>H51*AD51</f>
        <v>0</v>
      </c>
      <c r="K51" s="34">
        <f>J51*AD51</f>
        <v>0</v>
      </c>
      <c r="M51" s="34">
        <f>L51*AD51</f>
        <v>0</v>
      </c>
      <c r="O51" s="34">
        <f>N51*AD51</f>
        <v>0</v>
      </c>
      <c r="Q51" s="34">
        <f>P51*AD51</f>
        <v>0</v>
      </c>
      <c r="AC51" s="34">
        <f>B51+D51+F51+H51+J51+L51+N51</f>
        <v>0</v>
      </c>
      <c r="AE51" s="40">
        <f>AC51*AD51</f>
        <v>0</v>
      </c>
    </row>
    <row r="52" spans="3:31" ht="12.75">
      <c r="C52" s="34">
        <f>B52*AD52</f>
        <v>0</v>
      </c>
      <c r="E52" s="34">
        <f>D52*AD52</f>
        <v>0</v>
      </c>
      <c r="G52" s="34">
        <f>F52*AD52</f>
        <v>0</v>
      </c>
      <c r="I52" s="34">
        <f>H52*AD52</f>
        <v>0</v>
      </c>
      <c r="K52" s="34">
        <f>J52*AD52</f>
        <v>0</v>
      </c>
      <c r="M52" s="34">
        <f>L52*AD52</f>
        <v>0</v>
      </c>
      <c r="O52" s="34">
        <f>N52*AD52</f>
        <v>0</v>
      </c>
      <c r="Q52" s="34">
        <f>P52*AD52</f>
        <v>0</v>
      </c>
      <c r="AC52" s="34">
        <f>B52+D52+F52+H52+J52+L52+N52</f>
        <v>0</v>
      </c>
      <c r="AE52" s="40">
        <f>AC52*AD52</f>
        <v>0</v>
      </c>
    </row>
    <row r="53" spans="3:31" ht="12.75">
      <c r="C53" s="34">
        <f>B53*AD53</f>
        <v>0</v>
      </c>
      <c r="E53" s="34">
        <f>D53*AD53</f>
        <v>0</v>
      </c>
      <c r="G53" s="34">
        <f>F53*AD53</f>
        <v>0</v>
      </c>
      <c r="I53" s="34">
        <f>H53*AD53</f>
        <v>0</v>
      </c>
      <c r="K53" s="34">
        <f>J53*AD53</f>
        <v>0</v>
      </c>
      <c r="M53" s="34">
        <f>L53*AD53</f>
        <v>0</v>
      </c>
      <c r="O53" s="34">
        <f>N53*AD53</f>
        <v>0</v>
      </c>
      <c r="Q53" s="34">
        <f>P53*AD53</f>
        <v>0</v>
      </c>
      <c r="AC53" s="34">
        <f>B53+D53+F53+H53+J53+L53+N53</f>
        <v>0</v>
      </c>
      <c r="AE53" s="40">
        <f>AC53*AD53</f>
        <v>0</v>
      </c>
    </row>
    <row r="54" spans="3:31" ht="12.75">
      <c r="C54" s="34">
        <f>B54*AD54</f>
        <v>0</v>
      </c>
      <c r="E54" s="34">
        <f>D54*AD54</f>
        <v>0</v>
      </c>
      <c r="G54" s="34">
        <f>F54*AD54</f>
        <v>0</v>
      </c>
      <c r="I54" s="34">
        <f>H54*AD54</f>
        <v>0</v>
      </c>
      <c r="K54" s="34">
        <f>J54*AD54</f>
        <v>0</v>
      </c>
      <c r="M54" s="34">
        <f>L54*AD54</f>
        <v>0</v>
      </c>
      <c r="O54" s="34">
        <f>N54*AD54</f>
        <v>0</v>
      </c>
      <c r="Q54" s="34">
        <f>P54*AD54</f>
        <v>0</v>
      </c>
      <c r="AC54" s="34">
        <f>B54+D54+F54+H54+J54+L54+N54</f>
        <v>0</v>
      </c>
      <c r="AD54" s="34">
        <v>0.005925</v>
      </c>
      <c r="AE54" s="40">
        <f>AC54*AD54</f>
        <v>0</v>
      </c>
    </row>
    <row r="55" spans="3:31" ht="12.75">
      <c r="C55" s="34">
        <f>B55*AD55</f>
        <v>0</v>
      </c>
      <c r="E55" s="34">
        <f>D55*AD55</f>
        <v>0</v>
      </c>
      <c r="G55" s="34">
        <f>F55*AD55</f>
        <v>0</v>
      </c>
      <c r="I55" s="34">
        <f>H55*AD55</f>
        <v>0</v>
      </c>
      <c r="K55" s="34">
        <f>J55*AD55</f>
        <v>0</v>
      </c>
      <c r="M55" s="34">
        <f>L55*AD55</f>
        <v>0</v>
      </c>
      <c r="O55" s="34">
        <f>N55*AD55</f>
        <v>0</v>
      </c>
      <c r="Q55" s="34">
        <f>P55*AD55</f>
        <v>0</v>
      </c>
      <c r="AC55" s="34">
        <f>B55+D55+F55+H55+J55+L55+N55</f>
        <v>0</v>
      </c>
      <c r="AE55" s="40">
        <f>AC55*AD55</f>
        <v>0</v>
      </c>
    </row>
    <row r="56" spans="3:31" ht="12.75">
      <c r="C56" s="34">
        <f>B56*AD56</f>
        <v>0</v>
      </c>
      <c r="E56" s="34">
        <f>D56*AD56</f>
        <v>0</v>
      </c>
      <c r="G56" s="34">
        <f>F56*AD56</f>
        <v>0</v>
      </c>
      <c r="I56" s="34">
        <f>H56*AD56</f>
        <v>0</v>
      </c>
      <c r="K56" s="34">
        <f>J56*AD56</f>
        <v>0</v>
      </c>
      <c r="M56" s="34">
        <f>L56*AD56</f>
        <v>0</v>
      </c>
      <c r="O56" s="34">
        <f>N56*AD56</f>
        <v>0</v>
      </c>
      <c r="Q56" s="34">
        <f>P56*AD56</f>
        <v>0</v>
      </c>
      <c r="AC56" s="34">
        <f>B56+D56+F56+H56+J56+L56+N56</f>
        <v>0</v>
      </c>
      <c r="AE56" s="40">
        <f>AC56*AD56</f>
        <v>0</v>
      </c>
    </row>
    <row r="57" spans="3:31" ht="12.75">
      <c r="C57" s="34">
        <f>B57*AD57</f>
        <v>0</v>
      </c>
      <c r="E57" s="34">
        <f>D57*AD57</f>
        <v>0</v>
      </c>
      <c r="G57" s="34">
        <f>F57*AD57</f>
        <v>0</v>
      </c>
      <c r="I57" s="34">
        <f>H57*AD57</f>
        <v>0</v>
      </c>
      <c r="K57" s="34">
        <f>J57*AD57</f>
        <v>0</v>
      </c>
      <c r="M57" s="34">
        <f>L57*AD57</f>
        <v>0</v>
      </c>
      <c r="O57" s="34">
        <f>N57*AD57</f>
        <v>0</v>
      </c>
      <c r="Q57" s="34">
        <f>P57*AD57</f>
        <v>0</v>
      </c>
      <c r="AC57" s="34">
        <f>B57+D57+F57+H57+J57+L57+N57</f>
        <v>0</v>
      </c>
      <c r="AE57" s="40">
        <f>AC57*AD57</f>
        <v>0</v>
      </c>
    </row>
    <row r="58" spans="3:29" ht="12.75">
      <c r="C58" s="34">
        <f>B58*AD58</f>
        <v>0</v>
      </c>
      <c r="E58" s="34">
        <f>D58*AD58</f>
        <v>0</v>
      </c>
      <c r="G58" s="34">
        <f>F58*AD58</f>
        <v>0</v>
      </c>
      <c r="I58" s="34">
        <f>H58*AD58</f>
        <v>0</v>
      </c>
      <c r="K58" s="34">
        <f>J58*AD58</f>
        <v>0</v>
      </c>
      <c r="M58" s="34">
        <f>L58*AD58</f>
        <v>0</v>
      </c>
      <c r="O58" s="34">
        <f>N58*AD58</f>
        <v>0</v>
      </c>
      <c r="Q58" s="34">
        <f>P58*AD58</f>
        <v>0</v>
      </c>
      <c r="AC58" s="34">
        <f>B58+D58+F58+H58+J58+L58+N58</f>
        <v>0</v>
      </c>
    </row>
    <row r="59" spans="3:29" ht="12.75">
      <c r="C59" s="34">
        <f>B59*AD59</f>
        <v>0</v>
      </c>
      <c r="E59" s="34">
        <f>D59*AD59</f>
        <v>0</v>
      </c>
      <c r="G59" s="34">
        <f>F59*AD59</f>
        <v>0</v>
      </c>
      <c r="I59" s="34">
        <f>H59*AD59</f>
        <v>0</v>
      </c>
      <c r="K59" s="34">
        <f>J59*AD59</f>
        <v>0</v>
      </c>
      <c r="M59" s="34">
        <f>L59*AD59</f>
        <v>0</v>
      </c>
      <c r="O59" s="34">
        <f>N59*AD59</f>
        <v>0</v>
      </c>
      <c r="Q59" s="34">
        <f>P59*AD59</f>
        <v>0</v>
      </c>
      <c r="AC59" s="34">
        <f>B59+D59+F59+H59+J59+L59+N59</f>
        <v>0</v>
      </c>
    </row>
    <row r="60" spans="3:29" ht="12.75">
      <c r="C60" s="34">
        <f>B60*AD60</f>
        <v>0</v>
      </c>
      <c r="E60" s="34">
        <f>D60*AD60</f>
        <v>0</v>
      </c>
      <c r="G60" s="34">
        <f>F60*AD60</f>
        <v>0</v>
      </c>
      <c r="I60" s="34">
        <f>H60*AD60</f>
        <v>0</v>
      </c>
      <c r="K60" s="34">
        <f>J60*AD60</f>
        <v>0</v>
      </c>
      <c r="M60" s="34">
        <f>L60*AD60</f>
        <v>0</v>
      </c>
      <c r="O60" s="34">
        <f>N60*AD60</f>
        <v>0</v>
      </c>
      <c r="AC60" s="34">
        <f>B60+D60+F60+H60+J60+L60+N60</f>
        <v>0</v>
      </c>
    </row>
    <row r="61" spans="3:29" ht="12.75">
      <c r="C61" s="34">
        <f>B61*AD61</f>
        <v>0</v>
      </c>
      <c r="E61" s="34">
        <f>D61*AD61</f>
        <v>0</v>
      </c>
      <c r="G61" s="34">
        <f>F61*AD61</f>
        <v>0</v>
      </c>
      <c r="I61" s="34">
        <f>H61*AD61</f>
        <v>0</v>
      </c>
      <c r="K61" s="34">
        <f>J61*AD61</f>
        <v>0</v>
      </c>
      <c r="M61" s="34">
        <f>L61*AD61</f>
        <v>0</v>
      </c>
      <c r="O61" s="34">
        <f>N61*AD61</f>
        <v>0</v>
      </c>
      <c r="AC61" s="34">
        <f>B61+D61+F61+H61+J61+L61+N61</f>
        <v>0</v>
      </c>
    </row>
    <row r="62" spans="3:29" ht="12.75">
      <c r="C62" s="34">
        <f>B62*AD62</f>
        <v>0</v>
      </c>
      <c r="E62" s="34">
        <f>D62*AD62</f>
        <v>0</v>
      </c>
      <c r="G62" s="34">
        <f>F62*AD62</f>
        <v>0</v>
      </c>
      <c r="I62" s="34">
        <f>H62*AD62</f>
        <v>0</v>
      </c>
      <c r="K62" s="34">
        <f>J62*AD62</f>
        <v>0</v>
      </c>
      <c r="M62" s="34">
        <f>L62*AD62</f>
        <v>0</v>
      </c>
      <c r="AC62" s="34">
        <f>B62+D62+F62+H62+J62+L62+N62</f>
        <v>0</v>
      </c>
    </row>
    <row r="63" spans="3:29" ht="12.75">
      <c r="C63" s="34">
        <f>B63*AD63</f>
        <v>0</v>
      </c>
      <c r="E63" s="34">
        <f>D63*AD63</f>
        <v>0</v>
      </c>
      <c r="G63" s="34">
        <f>F63*AD63</f>
        <v>0</v>
      </c>
      <c r="I63" s="34">
        <f>H63*AD63</f>
        <v>0</v>
      </c>
      <c r="K63" s="34">
        <f>J63*AD63</f>
        <v>0</v>
      </c>
      <c r="M63" s="34">
        <f>L63*AD63</f>
        <v>0</v>
      </c>
      <c r="AC63" s="34">
        <f>B63+D63+F63+H63+J63+L63+N63</f>
        <v>0</v>
      </c>
    </row>
    <row r="64" spans="3:29" ht="12.75">
      <c r="C64" s="34">
        <f>B64*AD64</f>
        <v>0</v>
      </c>
      <c r="E64" s="34">
        <f>D64*AD64</f>
        <v>0</v>
      </c>
      <c r="G64" s="34">
        <f>F64*AD64</f>
        <v>0</v>
      </c>
      <c r="I64" s="34">
        <f>H64*AD64</f>
        <v>0</v>
      </c>
      <c r="K64" s="34">
        <f>J64*AD64</f>
        <v>0</v>
      </c>
      <c r="M64" s="34">
        <f>L64*AD64</f>
        <v>0</v>
      </c>
      <c r="AC64" s="34">
        <f>B64+D64+F64+H64+J64+L64+N64</f>
        <v>0</v>
      </c>
    </row>
    <row r="65" spans="3:29" ht="12.75">
      <c r="C65" s="34">
        <f>B65*AD65</f>
        <v>0</v>
      </c>
      <c r="E65" s="34">
        <f>D65*AD65</f>
        <v>0</v>
      </c>
      <c r="G65" s="34">
        <f>F65*AD65</f>
        <v>0</v>
      </c>
      <c r="I65" s="34">
        <f>H65*AD65</f>
        <v>0</v>
      </c>
      <c r="K65" s="34">
        <f>J65*AD65</f>
        <v>0</v>
      </c>
      <c r="M65" s="34">
        <f>L65*AD65</f>
        <v>0</v>
      </c>
      <c r="AC65" s="34">
        <f>B65+D65+F65+H65+J65+L65+N65</f>
        <v>0</v>
      </c>
    </row>
    <row r="66" spans="3:29" ht="12.75">
      <c r="C66" s="34">
        <f>B66*AD66</f>
        <v>0</v>
      </c>
      <c r="E66" s="34">
        <f>D66*AD66</f>
        <v>0</v>
      </c>
      <c r="G66" s="34">
        <f>F66*AD66</f>
        <v>0</v>
      </c>
      <c r="I66" s="34">
        <f>H66*AD66</f>
        <v>0</v>
      </c>
      <c r="K66" s="34">
        <f>J66*AD66</f>
        <v>0</v>
      </c>
      <c r="M66" s="34">
        <f>L66*AD66</f>
        <v>0</v>
      </c>
      <c r="AC66" s="34">
        <f>B66+D66+F66+H66+J66+L66+N66</f>
        <v>0</v>
      </c>
    </row>
    <row r="67" spans="3:29" ht="12.75">
      <c r="C67" s="34">
        <f>B67*AD67</f>
        <v>0</v>
      </c>
      <c r="E67" s="34">
        <f>D67*AD67</f>
        <v>0</v>
      </c>
      <c r="G67" s="34">
        <f>F67*AD67</f>
        <v>0</v>
      </c>
      <c r="I67" s="34">
        <f>H67*AD67</f>
        <v>0</v>
      </c>
      <c r="K67" s="34">
        <f>J67*AD67</f>
        <v>0</v>
      </c>
      <c r="M67" s="34">
        <f>L67*AD67</f>
        <v>0</v>
      </c>
      <c r="AC67" s="34">
        <f>B67+D67+F67+H67+J67+L67+N67</f>
        <v>0</v>
      </c>
    </row>
    <row r="68" spans="3:29" ht="12.75">
      <c r="C68" s="34">
        <f>B68*AD68</f>
        <v>0</v>
      </c>
      <c r="E68" s="34">
        <f>D68*AD68</f>
        <v>0</v>
      </c>
      <c r="G68" s="34">
        <f>F68*AD68</f>
        <v>0</v>
      </c>
      <c r="I68" s="34">
        <f>H68*AD68</f>
        <v>0</v>
      </c>
      <c r="K68" s="34">
        <f>J68*AD68</f>
        <v>0</v>
      </c>
      <c r="M68" s="34">
        <f>L68*AD68</f>
        <v>0</v>
      </c>
      <c r="AC68" s="34">
        <f>B68+D68+F68+H68+J68+L68+N68</f>
        <v>0</v>
      </c>
    </row>
    <row r="69" spans="3:29" ht="12.75">
      <c r="C69" s="34">
        <f>B69*AD69</f>
        <v>0</v>
      </c>
      <c r="E69" s="34">
        <f>D69*AD69</f>
        <v>0</v>
      </c>
      <c r="G69" s="34">
        <f>F69*AD69</f>
        <v>0</v>
      </c>
      <c r="I69" s="34">
        <f>H69*AD69</f>
        <v>0</v>
      </c>
      <c r="K69" s="34">
        <f>J69*AD69</f>
        <v>0</v>
      </c>
      <c r="M69" s="34">
        <f>L69*AD69</f>
        <v>0</v>
      </c>
      <c r="AC69" s="34">
        <f>B69+D69+F69+H69+J69+L69+N69</f>
        <v>0</v>
      </c>
    </row>
    <row r="70" spans="3:29" ht="12.75">
      <c r="C70" s="34">
        <f>B70*AD70</f>
        <v>0</v>
      </c>
      <c r="E70" s="34">
        <f>D70*AD70</f>
        <v>0</v>
      </c>
      <c r="G70" s="34">
        <f>F70*AD70</f>
        <v>0</v>
      </c>
      <c r="I70" s="34">
        <f>H70*AD70</f>
        <v>0</v>
      </c>
      <c r="K70" s="34">
        <f>J70*AD70</f>
        <v>0</v>
      </c>
      <c r="M70" s="34">
        <f>L70*AD70</f>
        <v>0</v>
      </c>
      <c r="AC70" s="34">
        <f>B70+D70+F70+H70+J70+L70+N70</f>
        <v>0</v>
      </c>
    </row>
    <row r="71" spans="3:29" ht="12.75">
      <c r="C71" s="34">
        <f>B71*AD71</f>
        <v>0</v>
      </c>
      <c r="E71" s="34">
        <f>D71*AD71</f>
        <v>0</v>
      </c>
      <c r="G71" s="34">
        <f>F71*AD71</f>
        <v>0</v>
      </c>
      <c r="I71" s="34">
        <f>H71*AD71</f>
        <v>0</v>
      </c>
      <c r="K71" s="34">
        <f>J71*AD71</f>
        <v>0</v>
      </c>
      <c r="M71" s="34">
        <f>L71*AD71</f>
        <v>0</v>
      </c>
      <c r="AC71" s="34">
        <f>B71+D71+F71+H71+J71+L71+N71</f>
        <v>0</v>
      </c>
    </row>
    <row r="72" spans="3:29" ht="12.75">
      <c r="C72" s="34">
        <f>B72*AD72</f>
        <v>0</v>
      </c>
      <c r="E72" s="34">
        <f>D72*AD72</f>
        <v>0</v>
      </c>
      <c r="G72" s="34">
        <f>F72*AD72</f>
        <v>0</v>
      </c>
      <c r="I72" s="34">
        <f>H72*AD72</f>
        <v>0</v>
      </c>
      <c r="K72" s="34">
        <f>J72*AD72</f>
        <v>0</v>
      </c>
      <c r="M72" s="34">
        <f>L72*AD72</f>
        <v>0</v>
      </c>
      <c r="AC72" s="34">
        <f>B72+D72+F72+H72+J72+L72+N72</f>
        <v>0</v>
      </c>
    </row>
    <row r="73" spans="3:29" ht="12.75">
      <c r="C73" s="34">
        <f>B73*AD73</f>
        <v>0</v>
      </c>
      <c r="E73" s="34">
        <f>D73*AD73</f>
        <v>0</v>
      </c>
      <c r="G73" s="34">
        <f>F73*AD73</f>
        <v>0</v>
      </c>
      <c r="I73" s="34">
        <f>H73*AD73</f>
        <v>0</v>
      </c>
      <c r="M73" s="34">
        <f>L73*AD73</f>
        <v>0</v>
      </c>
      <c r="AC73" s="34">
        <f>B73+D73+F73+H73+J73+L73+N73</f>
        <v>0</v>
      </c>
    </row>
    <row r="74" spans="3:29" ht="12.75">
      <c r="C74" s="34">
        <f>B74*AD74</f>
        <v>0</v>
      </c>
      <c r="E74" s="34">
        <f>D74*AD74</f>
        <v>0</v>
      </c>
      <c r="G74" s="34">
        <f>F74*AD74</f>
        <v>0</v>
      </c>
      <c r="I74" s="34">
        <f>H74*AD74</f>
        <v>0</v>
      </c>
      <c r="M74" s="34">
        <f>L74*AD74</f>
        <v>0</v>
      </c>
      <c r="AC74" s="34">
        <f>B74+D74+F74+H74+J74+L74+N74</f>
        <v>0</v>
      </c>
    </row>
    <row r="75" spans="3:29" ht="12.75">
      <c r="C75" s="34">
        <f>B75*AD75</f>
        <v>0</v>
      </c>
      <c r="E75" s="34">
        <f>D75*AD75</f>
        <v>0</v>
      </c>
      <c r="G75" s="34">
        <f>F75*AD75</f>
        <v>0</v>
      </c>
      <c r="I75" s="34">
        <f>H75*AD75</f>
        <v>0</v>
      </c>
      <c r="M75" s="34">
        <f>L75*AD75</f>
        <v>0</v>
      </c>
      <c r="AC75" s="34">
        <f>B75+D75+F75+H75+J75+L75+N75</f>
        <v>0</v>
      </c>
    </row>
    <row r="76" spans="3:29" ht="12.75">
      <c r="C76" s="34">
        <f>B76*AD76</f>
        <v>0</v>
      </c>
      <c r="E76" s="34">
        <f>D76*AD76</f>
        <v>0</v>
      </c>
      <c r="G76" s="34">
        <f>F76*AD76</f>
        <v>0</v>
      </c>
      <c r="I76" s="34">
        <f>H76*AD76</f>
        <v>0</v>
      </c>
      <c r="M76" s="34">
        <f>L76*AD76</f>
        <v>0</v>
      </c>
      <c r="AC76" s="34">
        <f>B76+D76+F76+H76+J76+L76+N76</f>
        <v>0</v>
      </c>
    </row>
    <row r="77" spans="3:29" ht="12.75">
      <c r="C77" s="34">
        <f>B77*AD77</f>
        <v>0</v>
      </c>
      <c r="E77" s="34">
        <f>D77*AD77</f>
        <v>0</v>
      </c>
      <c r="G77" s="34">
        <f>F77*AD77</f>
        <v>0</v>
      </c>
      <c r="I77" s="34">
        <f>H77*AD77</f>
        <v>0</v>
      </c>
      <c r="M77" s="34">
        <f>L77*AD77</f>
        <v>0</v>
      </c>
      <c r="AC77" s="34">
        <f>B77+D77+F77+H77+J77+L77+N77</f>
        <v>0</v>
      </c>
    </row>
    <row r="78" spans="3:29" ht="12.75">
      <c r="C78" s="34">
        <f>B78*AD78</f>
        <v>0</v>
      </c>
      <c r="E78" s="34">
        <f>D78*AD78</f>
        <v>0</v>
      </c>
      <c r="G78" s="34">
        <f>F78*AD78</f>
        <v>0</v>
      </c>
      <c r="I78" s="34">
        <f>H78*AD78</f>
        <v>0</v>
      </c>
      <c r="AC78" s="34">
        <f>B78+D78+F78+H78+J78+L78+N78</f>
        <v>0</v>
      </c>
    </row>
    <row r="79" spans="3:29" ht="12.75">
      <c r="C79" s="34">
        <f>B79*AD79</f>
        <v>0</v>
      </c>
      <c r="E79" s="34">
        <f>D79*AD79</f>
        <v>0</v>
      </c>
      <c r="G79" s="34">
        <f>F79*AD79</f>
        <v>0</v>
      </c>
      <c r="I79" s="34">
        <f>H79*AD79</f>
        <v>0</v>
      </c>
      <c r="AC79" s="34">
        <f>B79+D79+F79+H79+J79+L79+N79</f>
        <v>0</v>
      </c>
    </row>
    <row r="80" spans="3:29" ht="12.75">
      <c r="C80" s="34">
        <f>B80*AD80</f>
        <v>0</v>
      </c>
      <c r="E80" s="34">
        <f>D80*AD80</f>
        <v>0</v>
      </c>
      <c r="G80" s="34">
        <f>F80*AD80</f>
        <v>0</v>
      </c>
      <c r="I80" s="34">
        <f>H80*AD80</f>
        <v>0</v>
      </c>
      <c r="AC80" s="34">
        <f>B80+D80+F80+H80+J80+L80+N80</f>
        <v>0</v>
      </c>
    </row>
    <row r="81" spans="3:29" ht="12.75">
      <c r="C81" s="34">
        <f>B81*AD81</f>
        <v>0</v>
      </c>
      <c r="E81" s="34">
        <f>D81*AD81</f>
        <v>0</v>
      </c>
      <c r="G81" s="34">
        <f>F81*AD81</f>
        <v>0</v>
      </c>
      <c r="I81" s="34">
        <f>H81*AD81</f>
        <v>0</v>
      </c>
      <c r="AC81" s="34">
        <f>B81+D81+F81+H81+J81+L81+N81</f>
        <v>0</v>
      </c>
    </row>
    <row r="82" spans="3:29" ht="12.75">
      <c r="C82" s="34">
        <f>B82*AD82</f>
        <v>0</v>
      </c>
      <c r="E82" s="34">
        <f>D82*AD82</f>
        <v>0</v>
      </c>
      <c r="G82" s="34">
        <f>F82*AD82</f>
        <v>0</v>
      </c>
      <c r="I82" s="34">
        <f>H82*AD82</f>
        <v>0</v>
      </c>
      <c r="AC82" s="34">
        <f>B82+D82+F82+H82+J82+L82+N82</f>
        <v>0</v>
      </c>
    </row>
    <row r="83" spans="3:29" ht="12.75">
      <c r="C83" s="34">
        <f>B83*AD83</f>
        <v>0</v>
      </c>
      <c r="E83" s="34">
        <f>D83*AD83</f>
        <v>0</v>
      </c>
      <c r="AC83" s="34">
        <f>B83+D83+F83+H83+J83+L83+N83</f>
        <v>0</v>
      </c>
    </row>
    <row r="84" spans="3:29" ht="12.75">
      <c r="C84" s="34">
        <f>B84*AD84</f>
        <v>0</v>
      </c>
      <c r="E84" s="34">
        <f>D84*AD84</f>
        <v>0</v>
      </c>
      <c r="AC84" s="34">
        <f>B84+D84+F84+H84+J84+L84+N84</f>
        <v>0</v>
      </c>
    </row>
    <row r="85" spans="3:29" ht="12.75">
      <c r="C85" s="34">
        <f>B85*AD85</f>
        <v>0</v>
      </c>
      <c r="E85" s="34">
        <f>D85*AD85</f>
        <v>0</v>
      </c>
      <c r="AC85" s="34">
        <f>B85+D85+F85+H85+J85+L85+N85</f>
        <v>0</v>
      </c>
    </row>
    <row r="86" spans="3:29" ht="12.75">
      <c r="C86" s="34">
        <f>B86*AD86</f>
        <v>0</v>
      </c>
      <c r="E86" s="34">
        <f>D86*AD86</f>
        <v>0</v>
      </c>
      <c r="AC86" s="34">
        <f>B86+D86+F86+H86+J86+L86+N86</f>
        <v>0</v>
      </c>
    </row>
    <row r="87" spans="3:29" ht="12.75">
      <c r="C87" s="34">
        <f>B87*AD87</f>
        <v>0</v>
      </c>
      <c r="E87" s="34">
        <f>D87*AD87</f>
        <v>0</v>
      </c>
      <c r="AC87" s="34">
        <f>B87+D87+F87+H87+J87+L87+N87</f>
        <v>0</v>
      </c>
    </row>
    <row r="88" spans="3:29" ht="12.75">
      <c r="C88" s="34">
        <f>B88*AD88</f>
        <v>0</v>
      </c>
      <c r="E88" s="34">
        <f>D88*AD88</f>
        <v>0</v>
      </c>
      <c r="AC88" s="34">
        <f>B88+D88+F88+H88+J88+L88+N88</f>
        <v>0</v>
      </c>
    </row>
    <row r="89" spans="3:29" ht="12.75">
      <c r="C89" s="34">
        <f>B89*AD89</f>
        <v>0</v>
      </c>
      <c r="E89" s="34">
        <f>D89*AD89</f>
        <v>0</v>
      </c>
      <c r="AC89" s="34">
        <f>B89+D89+F89+H89+J89+L89+N89</f>
        <v>0</v>
      </c>
    </row>
    <row r="90" spans="3:29" ht="12.75">
      <c r="C90" s="34">
        <f>B90*AD90</f>
        <v>0</v>
      </c>
      <c r="E90" s="34">
        <f>D90*AD90</f>
        <v>0</v>
      </c>
      <c r="AC90" s="34">
        <f>B90+D90+F90+H90+J90+L90+N90</f>
        <v>0</v>
      </c>
    </row>
    <row r="91" spans="3:29" ht="12.75">
      <c r="C91" s="34">
        <f>B91*AD91</f>
        <v>0</v>
      </c>
      <c r="E91" s="34">
        <f>D91*AD91</f>
        <v>0</v>
      </c>
      <c r="AC91" s="34">
        <f>B91+D91+F91+H91+J91+L91+N91</f>
        <v>0</v>
      </c>
    </row>
    <row r="92" spans="3:29" ht="12.75">
      <c r="C92" s="34">
        <f>B92*AD92</f>
        <v>0</v>
      </c>
      <c r="E92" s="34">
        <f>D92*AD92</f>
        <v>0</v>
      </c>
      <c r="AC92" s="34">
        <f>B92+D92+F92+H92+J92+L92+N92</f>
        <v>0</v>
      </c>
    </row>
    <row r="93" spans="3:29" ht="12.75">
      <c r="C93" s="34">
        <f>B93*AD93</f>
        <v>0</v>
      </c>
      <c r="E93" s="34">
        <f>D93*AD93</f>
        <v>0</v>
      </c>
      <c r="AC93" s="34">
        <f>B93+D93+F93+H93+J93+L93+N93</f>
        <v>0</v>
      </c>
    </row>
    <row r="94" spans="3:29" ht="12.75">
      <c r="C94" s="34">
        <f>B94*AD94</f>
        <v>0</v>
      </c>
      <c r="E94" s="34">
        <f>D94*AD94</f>
        <v>0</v>
      </c>
      <c r="AC94" s="34">
        <f>B94+D94+F94+H94+J94+L94+N94</f>
        <v>0</v>
      </c>
    </row>
    <row r="95" spans="3:29" ht="12.75">
      <c r="C95" s="34">
        <f>B95*AD95</f>
        <v>0</v>
      </c>
      <c r="E95" s="34">
        <f>D95*AD95</f>
        <v>0</v>
      </c>
      <c r="AC95" s="34">
        <f>B95+D95+F95+H95+J95+L95+N95</f>
        <v>0</v>
      </c>
    </row>
    <row r="96" spans="3:29" ht="12.75">
      <c r="C96" s="34">
        <f>B96*AD96</f>
        <v>0</v>
      </c>
      <c r="E96" s="34">
        <f>D96*AD96</f>
        <v>0</v>
      </c>
      <c r="AC96" s="34">
        <f>B96+D96+F96+H96+J96+L96+N96</f>
        <v>0</v>
      </c>
    </row>
    <row r="97" spans="3:29" ht="12.75">
      <c r="C97" s="34">
        <f>B97*AD97</f>
        <v>0</v>
      </c>
      <c r="AC97" s="34">
        <f>B97+D97+F97+H97+J97+L97+N97</f>
        <v>0</v>
      </c>
    </row>
    <row r="98" spans="3:29" ht="12.75">
      <c r="C98" s="34">
        <f>B98*AD98</f>
        <v>0</v>
      </c>
      <c r="AC98" s="34">
        <f>B98+D98+F98+H98+J98+L98+N98</f>
        <v>0</v>
      </c>
    </row>
    <row r="99" spans="3:29" ht="12.75">
      <c r="C99" s="34">
        <f>B99*AD99</f>
        <v>0</v>
      </c>
      <c r="AC99" s="34">
        <f>B99+D99+F99+H99+J99+L99+N99</f>
        <v>0</v>
      </c>
    </row>
    <row r="100" spans="3:29" ht="12.75">
      <c r="C100" s="34">
        <f>B100*AD100</f>
        <v>0</v>
      </c>
      <c r="AC100" s="34">
        <f>B100+D100+F100+H100+J100+L100+N100</f>
        <v>0</v>
      </c>
    </row>
    <row r="101" spans="3:29" ht="12.75">
      <c r="C101" s="34">
        <f>B101*AD101</f>
        <v>0</v>
      </c>
      <c r="AC101" s="34">
        <f>B101+D101+F101+H101+J101+L101+N101</f>
        <v>0</v>
      </c>
    </row>
    <row r="102" spans="3:29" ht="12.75">
      <c r="C102" s="34">
        <f>B102*AD102</f>
        <v>0</v>
      </c>
      <c r="AC102" s="34">
        <f>B102+D102+F102+H102+J102+L102+N102</f>
        <v>0</v>
      </c>
    </row>
    <row r="103" spans="3:29" ht="12.75">
      <c r="C103" s="34">
        <f>B103*AD103</f>
        <v>0</v>
      </c>
      <c r="AC103" s="34">
        <f>B103+D103+F103+H103+J103+L103+N103</f>
        <v>0</v>
      </c>
    </row>
    <row r="104" spans="3:29" ht="12.75">
      <c r="C104" s="34">
        <f>B104*AD104</f>
        <v>0</v>
      </c>
      <c r="AC104" s="34">
        <f>B104+D104+F104+H104+J104+L104+N104</f>
        <v>0</v>
      </c>
    </row>
    <row r="105" spans="3:29" ht="12.75">
      <c r="C105" s="34">
        <f>B105*AD105</f>
        <v>0</v>
      </c>
      <c r="AC105" s="34">
        <f>B105+D105+F105+H105+J105+L105+N105</f>
        <v>0</v>
      </c>
    </row>
    <row r="106" spans="3:29" ht="12.75">
      <c r="C106" s="34">
        <f>B106*AD106</f>
        <v>0</v>
      </c>
      <c r="AC106" s="34">
        <f>B106+D106+F106+H106+J106+L106+N106</f>
        <v>0</v>
      </c>
    </row>
    <row r="107" spans="3:29" ht="12.75">
      <c r="C107" s="34">
        <f>B107*AD107</f>
        <v>0</v>
      </c>
      <c r="AC107" s="34">
        <f>B107+D107+F107+H107+J107+L107+N107</f>
        <v>0</v>
      </c>
    </row>
    <row r="108" spans="3:29" ht="12.75">
      <c r="C108" s="34">
        <f>B108*AD108</f>
        <v>0</v>
      </c>
      <c r="AC108" s="34">
        <f>B108+D108+F108+H108+J108+L108+N108</f>
        <v>0</v>
      </c>
    </row>
    <row r="109" spans="3:29" ht="12.75">
      <c r="C109" s="34">
        <f>B109*AD109</f>
        <v>0</v>
      </c>
      <c r="AC109" s="34">
        <f>B109+D109+F109+H109+J109+L109+N109</f>
        <v>0</v>
      </c>
    </row>
    <row r="110" spans="3:29" ht="12.75">
      <c r="C110" s="34">
        <f>B110*AD110</f>
        <v>0</v>
      </c>
      <c r="AC110" s="34">
        <f>B110+D110+F110+H110+J110+L110+N110</f>
        <v>0</v>
      </c>
    </row>
    <row r="111" spans="3:29" ht="12.75">
      <c r="C111" s="34">
        <f>B111*AD111</f>
        <v>0</v>
      </c>
      <c r="AC111" s="34">
        <f>B111+D111+F111+H111+J111+L111+N111</f>
        <v>0</v>
      </c>
    </row>
    <row r="112" spans="3:29" ht="12.75">
      <c r="C112" s="34">
        <f>B112*AD112</f>
        <v>0</v>
      </c>
      <c r="AC112" s="34">
        <f>B112+D112+F112+H112+J112+L112+N112</f>
        <v>0</v>
      </c>
    </row>
    <row r="113" spans="3:29" ht="12.75">
      <c r="C113" s="34">
        <f>B113*AD113</f>
        <v>0</v>
      </c>
      <c r="AC113" s="34">
        <f>B113+D113+F113+H113+J113+L113+N113</f>
        <v>0</v>
      </c>
    </row>
    <row r="114" spans="3:29" ht="12.75">
      <c r="C114" s="34">
        <f>B114*AD114</f>
        <v>0</v>
      </c>
      <c r="AC114" s="34">
        <f>B114+D114+F114+H114+J114+L114+N114</f>
        <v>0</v>
      </c>
    </row>
    <row r="115" spans="3:29" ht="12.75">
      <c r="C115" s="34">
        <f>B115*AD115</f>
        <v>0</v>
      </c>
      <c r="AC115" s="34">
        <f>B115+D115+F115+H115+J115+L115+N115</f>
        <v>0</v>
      </c>
    </row>
    <row r="116" spans="3:29" ht="12.75">
      <c r="C116" s="34">
        <f>B116*AD116</f>
        <v>0</v>
      </c>
      <c r="AC116" s="34">
        <f>B116+D116+F116+H116+J116+L116+N116</f>
        <v>0</v>
      </c>
    </row>
    <row r="117" spans="3:29" ht="12.75">
      <c r="C117" s="34">
        <f>B117*AD117</f>
        <v>0</v>
      </c>
      <c r="AC117" s="34">
        <f>B117+D117+F117+H117+J117+L117+N117</f>
        <v>0</v>
      </c>
    </row>
    <row r="118" spans="3:29" ht="12.75">
      <c r="C118" s="34">
        <f>B118*AD118</f>
        <v>0</v>
      </c>
      <c r="AC118" s="34">
        <f>B118+D118+F118+H118+J118+L118+N118</f>
        <v>0</v>
      </c>
    </row>
    <row r="119" spans="3:29" ht="12.75">
      <c r="C119" s="34">
        <f>B119*AD119</f>
        <v>0</v>
      </c>
      <c r="AC119" s="34">
        <f>B119+D119+F119+H119+J119+L119+N119</f>
        <v>0</v>
      </c>
    </row>
    <row r="120" spans="3:29" ht="12.75">
      <c r="C120" s="34">
        <f>B120*AD120</f>
        <v>0</v>
      </c>
      <c r="AC120" s="34">
        <f>B120+D120+F120+H120+J120+L120+N120</f>
        <v>0</v>
      </c>
    </row>
    <row r="121" spans="3:29" ht="12.75">
      <c r="C121" s="34">
        <f>B121*AD121</f>
        <v>0</v>
      </c>
      <c r="AC121" s="34">
        <f>B121+D121+F121+H121+J121+L121+N121</f>
        <v>0</v>
      </c>
    </row>
    <row r="122" spans="3:29" ht="12.75">
      <c r="C122" s="34">
        <f>B122*AD122</f>
        <v>0</v>
      </c>
      <c r="AC122" s="34">
        <f>B122+D122+F122+H122+J122+L122+N122</f>
        <v>0</v>
      </c>
    </row>
    <row r="123" spans="3:29" ht="12.75">
      <c r="C123" s="34">
        <f>B123*AD123</f>
        <v>0</v>
      </c>
      <c r="AC123" s="34">
        <f>B123+D123+F123+H123+J123+L123+N123</f>
        <v>0</v>
      </c>
    </row>
    <row r="124" spans="3:29" ht="12.75">
      <c r="C124" s="34">
        <f>B124*AD124</f>
        <v>0</v>
      </c>
      <c r="AC124" s="34">
        <f>B124+D124+F124+H124+J124+L124+N124</f>
        <v>0</v>
      </c>
    </row>
    <row r="125" spans="3:29" ht="12.75">
      <c r="C125" s="34">
        <f>B125*AD125</f>
        <v>0</v>
      </c>
      <c r="AC125" s="34">
        <f>B125+D125+F125+H125+J125+L125+N125</f>
        <v>0</v>
      </c>
    </row>
    <row r="126" spans="3:29" ht="12.75">
      <c r="C126" s="34">
        <f>B126*AD126</f>
        <v>0</v>
      </c>
      <c r="AC126" s="34">
        <f>B126+D126+F126+H126+J126+L126+N126</f>
        <v>0</v>
      </c>
    </row>
    <row r="127" spans="3:29" ht="12.75">
      <c r="C127" s="34">
        <f>B127*AD127</f>
        <v>0</v>
      </c>
      <c r="AC127" s="34">
        <f>B127+D127+F127+H127+J127+L127+N127</f>
        <v>0</v>
      </c>
    </row>
    <row r="128" spans="3:29" ht="12.75">
      <c r="C128" s="34">
        <f>B128*AD128</f>
        <v>0</v>
      </c>
      <c r="AC128" s="34">
        <f>B128+D128+F128+H128+J128+L128+N128</f>
        <v>0</v>
      </c>
    </row>
    <row r="129" spans="3:29" ht="12.75">
      <c r="C129" s="34">
        <f>B129*AD129</f>
        <v>0</v>
      </c>
      <c r="AC129" s="34">
        <f>B129+D129+F129+H129+J129+L129+N129</f>
        <v>0</v>
      </c>
    </row>
    <row r="130" spans="3:29" ht="12.75">
      <c r="C130" s="34">
        <f>B130*AD130</f>
        <v>0</v>
      </c>
      <c r="AC130" s="34">
        <f>B130+D130+F130+H130+J130+L130+N130</f>
        <v>0</v>
      </c>
    </row>
    <row r="131" spans="3:29" ht="12.75">
      <c r="C131" s="34">
        <f>B131*AD131</f>
        <v>0</v>
      </c>
      <c r="AC131" s="34">
        <f>B131+D131+F131+H131+J131+L131+N131</f>
        <v>0</v>
      </c>
    </row>
    <row r="132" spans="3:29" ht="12.75">
      <c r="C132" s="34">
        <f>B132*AD132</f>
        <v>0</v>
      </c>
      <c r="AC132" s="34">
        <f>B132+D132+F132+H132+J132+L132+N132</f>
        <v>0</v>
      </c>
    </row>
    <row r="133" ht="12.75">
      <c r="AC133" s="34">
        <f>B133+D133+F133+H133+J133+L133+N133</f>
        <v>0</v>
      </c>
    </row>
    <row r="134" ht="12.75">
      <c r="AC134" s="34">
        <f>B134+D134+F134+H134+J134+L134+N134</f>
        <v>0</v>
      </c>
    </row>
    <row r="135" ht="12.75">
      <c r="AC135" s="34">
        <f>B135+D135+F135+H135+J135+L135+N135</f>
        <v>0</v>
      </c>
    </row>
  </sheetData>
  <sheetProtection selectLockedCells="1" selectUnlockedCells="1"/>
  <printOptions/>
  <pageMargins left="0" right="0" top="0.1388888888888889" bottom="0.1388888888888889" header="0" footer="0"/>
  <pageSetup horizontalDpi="300" verticalDpi="300" orientation="portrait" paperSize="9"/>
  <headerFooter alignWithMargins="0">
    <oddHeader>&amp;C&amp;10&amp;A</oddHeader>
    <oddFooter>&amp;C&amp;10Page &amp;P</oddFooter>
  </headerFooter>
  <legacyDrawing r:id="rId2"/>
</worksheet>
</file>

<file path=xl/worksheets/sheet6.xml><?xml version="1.0" encoding="utf-8"?>
<worksheet xmlns="http://schemas.openxmlformats.org/spreadsheetml/2006/main" xmlns:r="http://schemas.openxmlformats.org/officeDocument/2006/relationships">
  <dimension ref="A1:BC135"/>
  <sheetViews>
    <sheetView zoomScale="95" zoomScaleNormal="95" workbookViewId="0" topLeftCell="AD1">
      <selection activeCell="AH1" sqref="AH1"/>
    </sheetView>
  </sheetViews>
  <sheetFormatPr defaultColWidth="11.00390625" defaultRowHeight="14.25"/>
  <cols>
    <col min="1" max="1" width="13.125" style="34" customWidth="1"/>
    <col min="2" max="2" width="9.00390625" style="34" customWidth="1"/>
    <col min="3" max="3" width="11.25390625" style="34" customWidth="1"/>
    <col min="4" max="4" width="13.125" style="34" customWidth="1"/>
    <col min="5" max="5" width="9.875" style="34" customWidth="1"/>
    <col min="6" max="6" width="11.00390625" style="34" customWidth="1"/>
    <col min="7" max="8" width="8.125" style="34" customWidth="1"/>
    <col min="9" max="9" width="10.125" style="34" customWidth="1"/>
    <col min="10" max="10" width="9.125" style="34" customWidth="1"/>
    <col min="11" max="11" width="11.00390625" style="34" customWidth="1"/>
    <col min="12" max="12" width="12.25390625" style="34" customWidth="1"/>
    <col min="13" max="13" width="12.875" style="34" customWidth="1"/>
    <col min="14" max="18" width="7.75390625" style="34" customWidth="1"/>
    <col min="19" max="19" width="15.25390625" style="34" customWidth="1"/>
    <col min="20" max="20" width="5.00390625" style="34" customWidth="1"/>
    <col min="21" max="21" width="10.625" style="34" customWidth="1"/>
    <col min="22" max="22" width="6.875" style="34" customWidth="1"/>
    <col min="23" max="23" width="3.25390625" style="34" customWidth="1"/>
    <col min="24" max="24" width="8.375" style="34" customWidth="1"/>
    <col min="25" max="26" width="6.50390625" style="34" customWidth="1"/>
    <col min="27" max="27" width="7.00390625" style="34" customWidth="1"/>
    <col min="28" max="28" width="29.875" style="34" customWidth="1"/>
    <col min="29" max="29" width="15.25390625" style="34" customWidth="1"/>
    <col min="30" max="30" width="8.125" style="34" customWidth="1"/>
    <col min="31" max="31" width="9.00390625" style="40" customWidth="1"/>
    <col min="32" max="32" width="1.4921875" style="34" customWidth="1"/>
    <col min="33" max="33" width="2.75390625" style="34" customWidth="1"/>
    <col min="34" max="34" width="1.875" style="34" customWidth="1"/>
    <col min="35" max="35" width="16.50390625" style="34" customWidth="1"/>
    <col min="36" max="36" width="8.25390625" style="34" customWidth="1"/>
    <col min="37" max="37" width="1.4921875" style="34" customWidth="1"/>
    <col min="38" max="38" width="16.875" style="34" customWidth="1"/>
    <col min="39" max="39" width="14.25390625" style="34" customWidth="1"/>
    <col min="40" max="40" width="2.00390625" style="34" customWidth="1"/>
    <col min="41" max="41" width="22.125" style="34" customWidth="1"/>
    <col min="42" max="42" width="10.625" style="34" customWidth="1"/>
    <col min="43" max="43" width="2.375" style="34" customWidth="1"/>
    <col min="44" max="44" width="15.125" style="34" customWidth="1"/>
    <col min="45" max="45" width="10.625" style="34" customWidth="1"/>
    <col min="46" max="46" width="2.625" style="34" customWidth="1"/>
    <col min="47" max="47" width="14.625" style="34" customWidth="1"/>
    <col min="48" max="48" width="7.375" style="34" customWidth="1"/>
    <col min="49" max="49" width="10.625" style="34" customWidth="1"/>
    <col min="50" max="50" width="11.875" style="34" customWidth="1"/>
    <col min="51" max="51" width="13.875" style="34" customWidth="1"/>
    <col min="52" max="53" width="10.625" style="34" customWidth="1"/>
    <col min="54" max="54" width="13.50390625" style="34" customWidth="1"/>
    <col min="55" max="16384" width="10.625" style="34" customWidth="1"/>
  </cols>
  <sheetData>
    <row r="1" spans="1:33" ht="14.25">
      <c r="A1" s="59" t="s">
        <v>119</v>
      </c>
      <c r="B1" s="34" t="s">
        <v>120</v>
      </c>
      <c r="C1" s="34" t="s">
        <v>121</v>
      </c>
      <c r="D1" s="34" t="s">
        <v>122</v>
      </c>
      <c r="E1" s="34" t="s">
        <v>123</v>
      </c>
      <c r="F1" s="34" t="s">
        <v>124</v>
      </c>
      <c r="G1" s="34" t="s">
        <v>125</v>
      </c>
      <c r="H1" s="34" t="s">
        <v>126</v>
      </c>
      <c r="I1" s="34" t="s">
        <v>127</v>
      </c>
      <c r="J1" s="34" t="s">
        <v>128</v>
      </c>
      <c r="K1" s="34" t="s">
        <v>129</v>
      </c>
      <c r="L1" s="34" t="s">
        <v>130</v>
      </c>
      <c r="M1" s="34" t="s">
        <v>131</v>
      </c>
      <c r="N1" s="34" t="s">
        <v>63</v>
      </c>
      <c r="O1" s="34" t="s">
        <v>132</v>
      </c>
      <c r="P1" s="34" t="s">
        <v>62</v>
      </c>
      <c r="Q1" s="34" t="s">
        <v>133</v>
      </c>
      <c r="R1" s="34" t="s">
        <v>134</v>
      </c>
      <c r="S1" s="34" t="s">
        <v>135</v>
      </c>
      <c r="T1" s="34" t="s">
        <v>136</v>
      </c>
      <c r="U1" s="34" t="s">
        <v>137</v>
      </c>
      <c r="V1" s="34" t="s">
        <v>138</v>
      </c>
      <c r="W1" s="34" t="s">
        <v>139</v>
      </c>
      <c r="X1" s="34" t="s">
        <v>140</v>
      </c>
      <c r="Y1" s="34" t="s">
        <v>141</v>
      </c>
      <c r="Z1" s="34" t="s">
        <v>142</v>
      </c>
      <c r="AA1" s="34" t="s">
        <v>143</v>
      </c>
      <c r="AC1" s="34" t="s">
        <v>144</v>
      </c>
      <c r="AD1" s="34" t="s">
        <v>145</v>
      </c>
      <c r="AE1" s="60" t="s">
        <v>146</v>
      </c>
      <c r="AG1" s="34" t="s">
        <v>147</v>
      </c>
    </row>
    <row r="2" spans="1:55" ht="14.25">
      <c r="A2" s="61">
        <v>43556</v>
      </c>
      <c r="B2" s="4">
        <f>4*2+2*4</f>
        <v>16</v>
      </c>
      <c r="C2" s="34">
        <f>B2*AD2</f>
        <v>9.596639999999999</v>
      </c>
      <c r="D2" s="4">
        <f>41.5+10.5</f>
        <v>52</v>
      </c>
      <c r="E2" s="34">
        <f>D2*AD2</f>
        <v>31.189079999999997</v>
      </c>
      <c r="F2" s="4">
        <f>28</f>
        <v>28</v>
      </c>
      <c r="G2" s="34">
        <f>F2*AD2</f>
        <v>16.79412</v>
      </c>
      <c r="H2" s="4"/>
      <c r="I2" s="34">
        <f>H2*AD2</f>
        <v>0</v>
      </c>
      <c r="J2" s="4"/>
      <c r="K2" s="34">
        <f>J2*AD2</f>
        <v>0</v>
      </c>
      <c r="L2" s="4">
        <v>66</v>
      </c>
      <c r="M2" s="34">
        <f>L2*AD2</f>
        <v>39.58613999999999</v>
      </c>
      <c r="O2" s="34">
        <f>N2*AD2</f>
        <v>0</v>
      </c>
      <c r="Q2" s="34">
        <f>P2*AD2</f>
        <v>0</v>
      </c>
      <c r="R2" s="4"/>
      <c r="S2" s="4"/>
      <c r="T2" s="4"/>
      <c r="U2" s="4"/>
      <c r="V2" s="4"/>
      <c r="W2" s="4"/>
      <c r="X2" s="4"/>
      <c r="Y2" s="4" t="s">
        <v>148</v>
      </c>
      <c r="Z2" s="4"/>
      <c r="AA2" s="4"/>
      <c r="AB2" s="4" t="s">
        <v>220</v>
      </c>
      <c r="AC2" s="34">
        <f>B2+D2+F2+H2+J2+L2+N2+P2</f>
        <v>162</v>
      </c>
      <c r="AD2" s="62">
        <f>599.79/1000</f>
        <v>0.5997899999999999</v>
      </c>
      <c r="AE2" s="62">
        <f>AC2*AD2</f>
        <v>97.16597999999999</v>
      </c>
      <c r="AG2" s="34">
        <v>27</v>
      </c>
      <c r="AI2" s="34" t="s">
        <v>150</v>
      </c>
      <c r="AJ2" s="60">
        <f>SUM($AE$2:$AE$994)</f>
        <v>3932.779688777776</v>
      </c>
      <c r="AL2" s="34" t="s">
        <v>151</v>
      </c>
      <c r="AM2" s="63">
        <f>$AJ$2/$AJ$5</f>
        <v>131.09265629259252</v>
      </c>
      <c r="AO2" s="34" t="s">
        <v>152</v>
      </c>
      <c r="AP2" s="34">
        <f>COUNTBLANK(L2:L40)-COUNTBLANK(A2:A40)</f>
        <v>2</v>
      </c>
      <c r="AQ2" s="64"/>
      <c r="AR2" s="64"/>
      <c r="AS2" s="64"/>
      <c r="AT2" s="64"/>
      <c r="AU2" s="64"/>
      <c r="AV2" s="64"/>
      <c r="AW2" s="64"/>
      <c r="AX2" s="64"/>
      <c r="AY2" s="64"/>
      <c r="AZ2" s="64"/>
      <c r="BB2" s="41"/>
      <c r="BC2" s="41"/>
    </row>
    <row r="3" spans="1:55" ht="14.25">
      <c r="A3" s="2">
        <v>43557</v>
      </c>
      <c r="B3" s="4">
        <f>2*4</f>
        <v>8</v>
      </c>
      <c r="C3" s="34">
        <f>B3*AD3</f>
        <v>4.7983199999999995</v>
      </c>
      <c r="D3" s="4">
        <v>70</v>
      </c>
      <c r="E3" s="34">
        <f>D3*AD3</f>
        <v>41.985299999999995</v>
      </c>
      <c r="F3" s="4">
        <v>20</v>
      </c>
      <c r="G3" s="34">
        <f>F3*AD3</f>
        <v>11.9958</v>
      </c>
      <c r="H3" s="4"/>
      <c r="I3" s="34">
        <f>H3*AD3</f>
        <v>0</v>
      </c>
      <c r="J3" s="4"/>
      <c r="K3" s="34">
        <f>J3*AD3</f>
        <v>0</v>
      </c>
      <c r="L3" s="4">
        <v>66</v>
      </c>
      <c r="M3" s="34">
        <f>L3*AD3</f>
        <v>39.58613999999999</v>
      </c>
      <c r="O3" s="34">
        <f>N3*AD3</f>
        <v>0</v>
      </c>
      <c r="Q3" s="34">
        <f>P3*AD3</f>
        <v>0</v>
      </c>
      <c r="R3" s="4"/>
      <c r="S3" s="4"/>
      <c r="T3" s="4"/>
      <c r="U3" s="4"/>
      <c r="V3" s="4"/>
      <c r="W3" s="4"/>
      <c r="X3" s="4"/>
      <c r="Y3" s="4" t="s">
        <v>148</v>
      </c>
      <c r="Z3" s="4"/>
      <c r="AA3" s="4"/>
      <c r="AB3" s="4" t="s">
        <v>221</v>
      </c>
      <c r="AC3" s="34">
        <f>B3+D3+F3+H3+J3+L3+N3+P3</f>
        <v>164</v>
      </c>
      <c r="AD3" s="62">
        <f>599.79/1000</f>
        <v>0.5997899999999999</v>
      </c>
      <c r="AE3" s="62">
        <f>AC3*AD3</f>
        <v>98.36555999999999</v>
      </c>
      <c r="AG3" s="34">
        <v>27</v>
      </c>
      <c r="AI3" s="65"/>
      <c r="AL3" s="65"/>
      <c r="AM3" s="63"/>
      <c r="AO3" s="34" t="s">
        <v>156</v>
      </c>
      <c r="AP3" s="34">
        <f>COUNT(L2:L36)</f>
        <v>28</v>
      </c>
      <c r="AR3" s="64"/>
      <c r="AS3" s="64"/>
      <c r="AT3" s="64"/>
      <c r="AU3" s="64"/>
      <c r="AV3" s="64"/>
      <c r="AW3" s="64"/>
      <c r="AX3" s="64"/>
      <c r="AY3" s="64"/>
      <c r="AZ3" s="64"/>
      <c r="BB3" s="41"/>
      <c r="BC3" s="41"/>
    </row>
    <row r="4" spans="1:55" ht="14.25">
      <c r="A4" s="2">
        <v>43558</v>
      </c>
      <c r="B4" s="4">
        <f>8+383</f>
        <v>391</v>
      </c>
      <c r="C4" s="34">
        <f>B4*AD4</f>
        <v>234.51788999999997</v>
      </c>
      <c r="D4" s="4"/>
      <c r="E4" s="34">
        <f>D4*AD4</f>
        <v>0</v>
      </c>
      <c r="F4" s="4"/>
      <c r="G4" s="34">
        <f>F4*AD4</f>
        <v>0</v>
      </c>
      <c r="H4" s="4"/>
      <c r="I4" s="34">
        <f>H4*AD4</f>
        <v>0</v>
      </c>
      <c r="J4" s="4"/>
      <c r="K4" s="34">
        <f>J4*AD4</f>
        <v>0</v>
      </c>
      <c r="L4" s="4">
        <v>66</v>
      </c>
      <c r="M4" s="34">
        <f>L4*AD4</f>
        <v>39.58613999999999</v>
      </c>
      <c r="O4" s="34">
        <f>N4*AD4</f>
        <v>0</v>
      </c>
      <c r="Q4" s="34">
        <f>P4*AD4</f>
        <v>0</v>
      </c>
      <c r="R4" s="4"/>
      <c r="S4" s="4"/>
      <c r="T4" s="4"/>
      <c r="U4" s="4"/>
      <c r="V4" s="4"/>
      <c r="W4" s="4"/>
      <c r="X4" s="4"/>
      <c r="Y4" s="4" t="s">
        <v>148</v>
      </c>
      <c r="Z4" s="4"/>
      <c r="AA4" s="4"/>
      <c r="AB4" s="4" t="s">
        <v>221</v>
      </c>
      <c r="AC4" s="34">
        <f>B4+D4+F4+H4+J4+L4+N4+P4</f>
        <v>457</v>
      </c>
      <c r="AD4" s="62">
        <f>599.79/1000</f>
        <v>0.5997899999999999</v>
      </c>
      <c r="AE4" s="62">
        <f>AC4*AD4</f>
        <v>274.10402999999997</v>
      </c>
      <c r="AG4" s="34">
        <v>27</v>
      </c>
      <c r="AO4" s="34" t="s">
        <v>160</v>
      </c>
      <c r="AP4" s="34">
        <f>COUNTA(W2:W49)</f>
        <v>0</v>
      </c>
      <c r="AR4" s="64"/>
      <c r="AS4" s="64"/>
      <c r="AT4" s="64"/>
      <c r="AU4" s="64"/>
      <c r="AV4" s="64"/>
      <c r="AW4" s="64"/>
      <c r="AX4" s="64"/>
      <c r="AY4" s="64"/>
      <c r="AZ4" s="64"/>
      <c r="BB4" s="41"/>
      <c r="BC4" s="41"/>
    </row>
    <row r="5" spans="1:42" ht="14.25">
      <c r="A5" s="2">
        <v>43559</v>
      </c>
      <c r="B5" s="4">
        <f>2+2+3+3</f>
        <v>10</v>
      </c>
      <c r="C5" s="34">
        <f>B5*AD5</f>
        <v>5.9979</v>
      </c>
      <c r="D5" s="4">
        <f>32</f>
        <v>32</v>
      </c>
      <c r="E5" s="34">
        <f>D5*AD5</f>
        <v>19.193279999999998</v>
      </c>
      <c r="F5" s="4">
        <v>24</v>
      </c>
      <c r="G5" s="34">
        <f>F5*AD5</f>
        <v>14.394959999999998</v>
      </c>
      <c r="H5" s="4"/>
      <c r="I5" s="34">
        <f>H5*AD5</f>
        <v>0</v>
      </c>
      <c r="J5" s="4">
        <v>50</v>
      </c>
      <c r="K5" s="34">
        <f>J5*AD5</f>
        <v>29.989499999999996</v>
      </c>
      <c r="L5" s="4">
        <v>59</v>
      </c>
      <c r="M5" s="34">
        <f>L5*AD5</f>
        <v>35.387609999999995</v>
      </c>
      <c r="O5" s="34">
        <f>N5*AD5</f>
        <v>0</v>
      </c>
      <c r="Q5" s="34">
        <f>P5*AD5</f>
        <v>0</v>
      </c>
      <c r="R5" s="4"/>
      <c r="S5" s="4"/>
      <c r="T5" s="4"/>
      <c r="U5" s="4"/>
      <c r="V5" s="4"/>
      <c r="W5" s="4"/>
      <c r="X5" s="4"/>
      <c r="Y5" s="4" t="s">
        <v>148</v>
      </c>
      <c r="Z5" s="4"/>
      <c r="AA5" s="4"/>
      <c r="AB5" s="4" t="s">
        <v>221</v>
      </c>
      <c r="AC5" s="34">
        <f>B5+D5+F5+H5+J5+L5+N5+P5</f>
        <v>175</v>
      </c>
      <c r="AD5" s="62">
        <f>599.79/1000</f>
        <v>0.5997899999999999</v>
      </c>
      <c r="AE5" s="62">
        <f>AC5*AD5</f>
        <v>104.96324999999999</v>
      </c>
      <c r="AG5" s="34">
        <v>27</v>
      </c>
      <c r="AI5" s="34" t="s">
        <v>163</v>
      </c>
      <c r="AJ5" s="34">
        <f>COUNTA(A2:A349)</f>
        <v>30</v>
      </c>
      <c r="AO5" s="34" t="s">
        <v>164</v>
      </c>
      <c r="AP5" s="34">
        <f>COUNTA(R2:R49)</f>
        <v>0</v>
      </c>
    </row>
    <row r="6" spans="1:42" ht="14.25">
      <c r="A6" s="2">
        <v>43560</v>
      </c>
      <c r="B6" s="4">
        <f>2*8</f>
        <v>16</v>
      </c>
      <c r="C6" s="34">
        <f>B6*AD6</f>
        <v>9.596639999999999</v>
      </c>
      <c r="D6" s="4">
        <f>10</f>
        <v>10</v>
      </c>
      <c r="E6" s="34">
        <f>D6*AD6</f>
        <v>5.9979</v>
      </c>
      <c r="F6" s="4">
        <v>20</v>
      </c>
      <c r="G6" s="34">
        <f>F6*AD6</f>
        <v>11.9958</v>
      </c>
      <c r="H6" s="4"/>
      <c r="I6" s="34">
        <f>H6*AD6</f>
        <v>0</v>
      </c>
      <c r="J6" s="4"/>
      <c r="K6" s="34">
        <f>J6*AD6</f>
        <v>0</v>
      </c>
      <c r="L6" s="4"/>
      <c r="M6" s="34">
        <f>L6*AD6</f>
        <v>0</v>
      </c>
      <c r="O6" s="34">
        <f>N6*AD6</f>
        <v>0</v>
      </c>
      <c r="Q6" s="34">
        <f>P6*AD6</f>
        <v>0</v>
      </c>
      <c r="R6" s="4"/>
      <c r="S6" s="4"/>
      <c r="T6" s="4"/>
      <c r="U6" s="4"/>
      <c r="V6" s="4"/>
      <c r="W6" s="4"/>
      <c r="X6" s="4"/>
      <c r="Y6" s="4"/>
      <c r="Z6" s="4" t="s">
        <v>148</v>
      </c>
      <c r="AA6" s="4"/>
      <c r="AB6" s="4" t="s">
        <v>222</v>
      </c>
      <c r="AC6" s="34">
        <f>B6+D6+F6+H6+J6+L6+N6+P6</f>
        <v>46</v>
      </c>
      <c r="AD6" s="62">
        <f>599.79/1000</f>
        <v>0.5997899999999999</v>
      </c>
      <c r="AE6" s="62">
        <f>AC6*AD6</f>
        <v>27.590339999999998</v>
      </c>
      <c r="AG6" s="34">
        <v>27</v>
      </c>
      <c r="AI6" s="65"/>
      <c r="AO6" s="34" t="s">
        <v>165</v>
      </c>
      <c r="AP6" s="34">
        <f>COUNTA(T2:T49)</f>
        <v>16</v>
      </c>
    </row>
    <row r="7" spans="1:42" ht="14.25">
      <c r="A7" s="2">
        <v>43561</v>
      </c>
      <c r="B7" s="4"/>
      <c r="C7" s="34">
        <f>B7*AD7</f>
        <v>0</v>
      </c>
      <c r="D7" s="4">
        <f>36+11</f>
        <v>47</v>
      </c>
      <c r="E7" s="34">
        <f>D7*AD7</f>
        <v>28.190129999999996</v>
      </c>
      <c r="F7" s="4">
        <f>13*2</f>
        <v>26</v>
      </c>
      <c r="G7" s="34">
        <f>F7*AD7</f>
        <v>15.594539999999999</v>
      </c>
      <c r="H7" s="4"/>
      <c r="I7" s="34">
        <f>H7*AD7</f>
        <v>0</v>
      </c>
      <c r="J7" s="4"/>
      <c r="K7" s="34">
        <f>J7*AD7</f>
        <v>0</v>
      </c>
      <c r="L7" s="4">
        <v>75</v>
      </c>
      <c r="M7" s="34">
        <f>L7*AD7</f>
        <v>44.984249999999996</v>
      </c>
      <c r="O7" s="34">
        <f>N7*AD7</f>
        <v>0</v>
      </c>
      <c r="Q7" s="34">
        <f>P7*AD7</f>
        <v>0</v>
      </c>
      <c r="R7" s="4"/>
      <c r="S7" s="4"/>
      <c r="T7" s="4" t="s">
        <v>148</v>
      </c>
      <c r="U7" s="4"/>
      <c r="V7" s="4"/>
      <c r="W7" s="4"/>
      <c r="X7" s="4"/>
      <c r="Y7" s="4"/>
      <c r="Z7" s="4"/>
      <c r="AA7" s="4"/>
      <c r="AB7" s="4" t="s">
        <v>223</v>
      </c>
      <c r="AC7" s="34">
        <f>B7+D7+F7+H7+J7+L7+N7+P7</f>
        <v>148</v>
      </c>
      <c r="AD7" s="62">
        <f>599.79/1000</f>
        <v>0.5997899999999999</v>
      </c>
      <c r="AE7" s="62">
        <f>AC7*AD7</f>
        <v>88.76892</v>
      </c>
      <c r="AG7" s="34">
        <v>27</v>
      </c>
      <c r="AL7" s="34" t="s">
        <v>166</v>
      </c>
      <c r="AO7" s="34" t="s">
        <v>137</v>
      </c>
      <c r="AP7" s="34">
        <f>COUNTA(U2:U49)</f>
        <v>0</v>
      </c>
    </row>
    <row r="8" spans="1:42" ht="14.25">
      <c r="A8" s="2">
        <v>43562</v>
      </c>
      <c r="B8" s="4">
        <f>17*2</f>
        <v>34</v>
      </c>
      <c r="C8" s="34">
        <f>B8*AD8</f>
        <v>20.39286</v>
      </c>
      <c r="D8" s="4">
        <v>13.5</v>
      </c>
      <c r="E8" s="34">
        <f>D8*AD8</f>
        <v>8.097164999999999</v>
      </c>
      <c r="F8" s="4">
        <v>22</v>
      </c>
      <c r="G8" s="34">
        <f>F8*AD8</f>
        <v>13.195379999999998</v>
      </c>
      <c r="H8" s="4"/>
      <c r="I8" s="34">
        <f>H8*AD8</f>
        <v>0</v>
      </c>
      <c r="J8" s="4"/>
      <c r="K8" s="34">
        <f>J8*AD8</f>
        <v>0</v>
      </c>
      <c r="L8" s="4">
        <v>66</v>
      </c>
      <c r="M8" s="34">
        <f>L8*AD8</f>
        <v>39.58613999999999</v>
      </c>
      <c r="O8" s="34">
        <f>N8*AD8</f>
        <v>0</v>
      </c>
      <c r="Q8" s="34">
        <f>P8*AD8</f>
        <v>0</v>
      </c>
      <c r="R8" s="4"/>
      <c r="S8" s="4"/>
      <c r="T8" s="4" t="s">
        <v>148</v>
      </c>
      <c r="U8" s="4"/>
      <c r="V8" s="4"/>
      <c r="W8" s="4"/>
      <c r="X8" s="4"/>
      <c r="Y8" s="4"/>
      <c r="Z8" s="4"/>
      <c r="AA8" s="4"/>
      <c r="AB8" s="4" t="s">
        <v>224</v>
      </c>
      <c r="AC8" s="34">
        <f>B8+D8+F8+H8+J8+L8+N8+P8</f>
        <v>135.5</v>
      </c>
      <c r="AD8" s="62">
        <f>599.79/1000</f>
        <v>0.5997899999999999</v>
      </c>
      <c r="AE8" s="62">
        <f>AC8*AD8</f>
        <v>81.27154499999999</v>
      </c>
      <c r="AG8" s="34">
        <v>27</v>
      </c>
      <c r="AI8" s="34" t="s">
        <v>168</v>
      </c>
      <c r="AJ8" s="60">
        <f>SUM(M2:M994)</f>
        <v>1134.7004877777779</v>
      </c>
      <c r="AL8" s="34" t="s">
        <v>130</v>
      </c>
      <c r="AM8" s="60">
        <f>AJ8/$AJ$5</f>
        <v>37.8233495925926</v>
      </c>
      <c r="AO8" s="34" t="s">
        <v>169</v>
      </c>
      <c r="AP8" s="34">
        <f>COUNTA(S2:S49)</f>
        <v>0</v>
      </c>
    </row>
    <row r="9" spans="1:42" ht="14.25">
      <c r="A9" s="2">
        <v>43563</v>
      </c>
      <c r="B9" s="4"/>
      <c r="C9" s="34">
        <f>B9*AD9</f>
        <v>0</v>
      </c>
      <c r="D9" s="4">
        <f>15+5+10+20</f>
        <v>50</v>
      </c>
      <c r="E9" s="34">
        <f>D9*AD9</f>
        <v>29.989499999999996</v>
      </c>
      <c r="F9" s="4">
        <v>30</v>
      </c>
      <c r="G9" s="34">
        <f>F9*AD9</f>
        <v>17.993699999999997</v>
      </c>
      <c r="H9" s="4">
        <f>228*2</f>
        <v>456</v>
      </c>
      <c r="I9" s="34">
        <f>H9*AD9</f>
        <v>273.50424</v>
      </c>
      <c r="J9" s="4"/>
      <c r="K9" s="34">
        <f>J9*AD9</f>
        <v>0</v>
      </c>
      <c r="L9" s="4">
        <v>66</v>
      </c>
      <c r="M9" s="34">
        <f>L9*AD9</f>
        <v>39.58613999999999</v>
      </c>
      <c r="O9" s="34">
        <f>N9*AD9</f>
        <v>0</v>
      </c>
      <c r="Q9" s="34">
        <f>P9*AD9</f>
        <v>0</v>
      </c>
      <c r="R9" s="4"/>
      <c r="S9" s="4"/>
      <c r="T9" s="4" t="s">
        <v>148</v>
      </c>
      <c r="U9" s="4"/>
      <c r="V9" s="4"/>
      <c r="W9" s="4"/>
      <c r="X9" s="4"/>
      <c r="Y9" s="4"/>
      <c r="Z9" s="4"/>
      <c r="AA9" s="4"/>
      <c r="AB9" s="4" t="s">
        <v>224</v>
      </c>
      <c r="AC9" s="34">
        <f>B9+D9+F9+H9+J9+L9+N9+P9</f>
        <v>602</v>
      </c>
      <c r="AD9" s="62">
        <f>599.79/1000</f>
        <v>0.5997899999999999</v>
      </c>
      <c r="AE9" s="62">
        <f>AC9*AD9</f>
        <v>361.07357999999994</v>
      </c>
      <c r="AG9" s="34">
        <v>27</v>
      </c>
      <c r="AI9" s="34" t="s">
        <v>171</v>
      </c>
      <c r="AJ9" s="60">
        <f>SUM(C2:C994)</f>
        <v>1381.6049766666663</v>
      </c>
      <c r="AL9" s="34" t="s">
        <v>120</v>
      </c>
      <c r="AM9" s="60">
        <f>AJ9/$AJ$5</f>
        <v>46.05349922222221</v>
      </c>
      <c r="AO9" s="34" t="s">
        <v>138</v>
      </c>
      <c r="AP9" s="34">
        <f>COUNTA(V2:V50)</f>
        <v>0</v>
      </c>
    </row>
    <row r="10" spans="1:42" ht="14.25">
      <c r="A10" s="2">
        <v>43564</v>
      </c>
      <c r="B10" s="4"/>
      <c r="C10" s="34">
        <f>B10*AD10</f>
        <v>0</v>
      </c>
      <c r="D10" s="4">
        <f>15+10+17</f>
        <v>42</v>
      </c>
      <c r="E10" s="34">
        <f>D10*AD10</f>
        <v>25.191179999999996</v>
      </c>
      <c r="F10" s="4">
        <v>24</v>
      </c>
      <c r="G10" s="34">
        <f>F10*AD10</f>
        <v>14.394959999999998</v>
      </c>
      <c r="H10" s="4"/>
      <c r="I10" s="34">
        <f>H10*AD10</f>
        <v>0</v>
      </c>
      <c r="J10" s="4"/>
      <c r="K10" s="34">
        <f>J10*AD10</f>
        <v>0</v>
      </c>
      <c r="L10" s="4">
        <v>66</v>
      </c>
      <c r="M10" s="34">
        <f>L10*AD10</f>
        <v>39.58613999999999</v>
      </c>
      <c r="O10" s="34">
        <f>N10*AD10</f>
        <v>0</v>
      </c>
      <c r="Q10" s="34">
        <f>P10*AD10</f>
        <v>0</v>
      </c>
      <c r="R10" s="4"/>
      <c r="S10" s="4"/>
      <c r="T10" s="4" t="s">
        <v>148</v>
      </c>
      <c r="U10" s="4"/>
      <c r="V10" s="4"/>
      <c r="W10" s="4"/>
      <c r="X10" s="4"/>
      <c r="Y10" s="4"/>
      <c r="Z10" s="4"/>
      <c r="AA10" s="4"/>
      <c r="AB10" s="4" t="s">
        <v>224</v>
      </c>
      <c r="AC10" s="34">
        <f>B10+D10+F10+H10+J10+L10+N10+P10</f>
        <v>132</v>
      </c>
      <c r="AD10" s="62">
        <f>599.79/1000</f>
        <v>0.5997899999999999</v>
      </c>
      <c r="AE10" s="62">
        <f>AC10*AD10</f>
        <v>79.17227999999999</v>
      </c>
      <c r="AG10" s="34">
        <v>27</v>
      </c>
      <c r="AI10" s="34" t="s">
        <v>172</v>
      </c>
      <c r="AJ10" s="60">
        <f>SUM(E2:E994)</f>
        <v>623.6584143333332</v>
      </c>
      <c r="AL10" s="34" t="s">
        <v>58</v>
      </c>
      <c r="AM10" s="60">
        <f>AJ10/$AJ$5</f>
        <v>20.78861381111111</v>
      </c>
      <c r="AO10" s="34" t="s">
        <v>141</v>
      </c>
      <c r="AP10" s="34">
        <f>COUNTA(Y2:Y51)</f>
        <v>12</v>
      </c>
    </row>
    <row r="11" spans="1:42" ht="14.25">
      <c r="A11" s="2">
        <v>43565</v>
      </c>
      <c r="B11" s="4"/>
      <c r="C11" s="34">
        <f>B11*AD11</f>
        <v>0</v>
      </c>
      <c r="D11" s="4">
        <f>24+5</f>
        <v>29</v>
      </c>
      <c r="E11" s="34">
        <f>D11*AD11</f>
        <v>17.393909999999998</v>
      </c>
      <c r="F11" s="4">
        <v>24</v>
      </c>
      <c r="G11" s="34">
        <f>F11*AD11</f>
        <v>14.394959999999998</v>
      </c>
      <c r="H11" s="4"/>
      <c r="I11" s="34">
        <f>H11*AD11</f>
        <v>0</v>
      </c>
      <c r="J11" s="4"/>
      <c r="K11" s="34">
        <f>J11*AD11</f>
        <v>0</v>
      </c>
      <c r="L11" s="4">
        <v>66</v>
      </c>
      <c r="M11" s="34">
        <f>L11*AD11</f>
        <v>39.58613999999999</v>
      </c>
      <c r="O11" s="34">
        <f>N11*AD11</f>
        <v>0</v>
      </c>
      <c r="Q11" s="34">
        <f>P11*AD11</f>
        <v>0</v>
      </c>
      <c r="R11" s="4"/>
      <c r="S11" s="4"/>
      <c r="T11" s="4" t="s">
        <v>148</v>
      </c>
      <c r="U11" s="4"/>
      <c r="V11" s="4"/>
      <c r="W11" s="4"/>
      <c r="X11" s="4"/>
      <c r="Y11" s="4"/>
      <c r="Z11" s="4"/>
      <c r="AA11" s="4"/>
      <c r="AB11" s="4" t="s">
        <v>224</v>
      </c>
      <c r="AC11" s="34">
        <f>B11+D11+F11+H11+J11+L11+N11+P11</f>
        <v>119</v>
      </c>
      <c r="AD11" s="62">
        <f>599.79/1000</f>
        <v>0.5997899999999999</v>
      </c>
      <c r="AE11" s="62">
        <f>AC11*AD11</f>
        <v>71.37500999999999</v>
      </c>
      <c r="AG11" s="34">
        <v>27</v>
      </c>
      <c r="AI11" s="34" t="s">
        <v>173</v>
      </c>
      <c r="AJ11" s="60">
        <f>SUM(G2:G994)</f>
        <v>431.74223000000006</v>
      </c>
      <c r="AL11" s="34" t="s">
        <v>174</v>
      </c>
      <c r="AM11" s="60">
        <f>AJ11/$AJ$5</f>
        <v>14.39140766666667</v>
      </c>
      <c r="AO11" s="34" t="s">
        <v>175</v>
      </c>
      <c r="AP11" s="34">
        <f>COUNTA(Z2:Z52)</f>
        <v>2</v>
      </c>
    </row>
    <row r="12" spans="1:39" ht="14.25">
      <c r="A12" s="2">
        <v>43566</v>
      </c>
      <c r="B12" s="4"/>
      <c r="C12" s="34">
        <f>B12*AD12</f>
        <v>0</v>
      </c>
      <c r="D12" s="4">
        <f>15+5+10</f>
        <v>30</v>
      </c>
      <c r="E12" s="34">
        <f>D12*AD12</f>
        <v>17.993699999999997</v>
      </c>
      <c r="F12" s="4">
        <v>24</v>
      </c>
      <c r="G12" s="34">
        <f>F12*AD12</f>
        <v>14.394959999999998</v>
      </c>
      <c r="H12" s="4"/>
      <c r="I12" s="34">
        <f>H12*AD12</f>
        <v>0</v>
      </c>
      <c r="J12" s="4"/>
      <c r="K12" s="34">
        <f>J12*AD12</f>
        <v>0</v>
      </c>
      <c r="L12" s="4">
        <v>66</v>
      </c>
      <c r="M12" s="34">
        <f>L12*AD12</f>
        <v>39.58613999999999</v>
      </c>
      <c r="O12" s="34">
        <f>N12*AD12</f>
        <v>0</v>
      </c>
      <c r="Q12" s="34">
        <f>P12*AD12</f>
        <v>0</v>
      </c>
      <c r="R12" s="4"/>
      <c r="S12" s="4"/>
      <c r="T12" s="4" t="s">
        <v>148</v>
      </c>
      <c r="U12" s="4"/>
      <c r="V12" s="4"/>
      <c r="W12" s="4"/>
      <c r="X12" s="4"/>
      <c r="Y12" s="4"/>
      <c r="Z12" s="4"/>
      <c r="AA12" s="4"/>
      <c r="AB12" s="4" t="s">
        <v>224</v>
      </c>
      <c r="AC12" s="34">
        <f>B12+D12+F12+H12+J12+L12+N12+P12</f>
        <v>120</v>
      </c>
      <c r="AD12" s="62">
        <f>599.79/1000</f>
        <v>0.5997899999999999</v>
      </c>
      <c r="AE12" s="62">
        <f>AC12*AD12</f>
        <v>71.97479999999999</v>
      </c>
      <c r="AG12" s="34">
        <v>27</v>
      </c>
      <c r="AI12" s="34" t="s">
        <v>176</v>
      </c>
      <c r="AJ12" s="60">
        <f>SUM(K2:K994)</f>
        <v>29.989499999999996</v>
      </c>
      <c r="AL12" s="34" t="s">
        <v>128</v>
      </c>
      <c r="AM12" s="60">
        <f>AJ12/$AJ$5</f>
        <v>0.9996499999999998</v>
      </c>
    </row>
    <row r="13" spans="1:39" ht="14.25">
      <c r="A13" s="2">
        <v>43567</v>
      </c>
      <c r="B13" s="4">
        <f>17*2</f>
        <v>34</v>
      </c>
      <c r="C13" s="34">
        <f>B13*AD13</f>
        <v>20.39286</v>
      </c>
      <c r="D13" s="4">
        <f>25</f>
        <v>25</v>
      </c>
      <c r="E13" s="34">
        <f>D13*AD13</f>
        <v>14.994749999999998</v>
      </c>
      <c r="F13" s="4">
        <v>30</v>
      </c>
      <c r="G13" s="34">
        <f>F13*AD13</f>
        <v>17.993699999999997</v>
      </c>
      <c r="H13" s="4"/>
      <c r="I13" s="34">
        <f>H13*AD13</f>
        <v>0</v>
      </c>
      <c r="J13" s="4"/>
      <c r="K13" s="34">
        <f>J13*AD13</f>
        <v>0</v>
      </c>
      <c r="L13" s="4">
        <v>75</v>
      </c>
      <c r="M13" s="34">
        <f>L13*AD13</f>
        <v>44.984249999999996</v>
      </c>
      <c r="O13" s="34">
        <f>N13*AD13</f>
        <v>0</v>
      </c>
      <c r="Q13" s="34">
        <f>P13*AD13</f>
        <v>0</v>
      </c>
      <c r="R13" s="4"/>
      <c r="S13" s="4"/>
      <c r="T13" s="4" t="s">
        <v>148</v>
      </c>
      <c r="U13" s="4"/>
      <c r="V13" s="4"/>
      <c r="W13" s="4"/>
      <c r="X13" s="4"/>
      <c r="Y13" s="4"/>
      <c r="Z13" s="4"/>
      <c r="AA13" s="4"/>
      <c r="AB13" s="4" t="s">
        <v>223</v>
      </c>
      <c r="AC13" s="34">
        <f>B13+D13+F13+H13+J13+L13+N13+P13</f>
        <v>164</v>
      </c>
      <c r="AD13" s="62">
        <f>599.79/1000</f>
        <v>0.5997899999999999</v>
      </c>
      <c r="AE13" s="62">
        <f>AC13*AD13</f>
        <v>98.36555999999999</v>
      </c>
      <c r="AG13" s="34">
        <v>27</v>
      </c>
      <c r="AI13" s="34" t="s">
        <v>177</v>
      </c>
      <c r="AJ13" s="60">
        <f>SUM(I2:I994)</f>
        <v>331.08408</v>
      </c>
      <c r="AL13" s="34" t="s">
        <v>126</v>
      </c>
      <c r="AM13" s="60">
        <f>AJ13/$AJ$5</f>
        <v>11.036135999999999</v>
      </c>
    </row>
    <row r="14" spans="1:36" ht="14.25">
      <c r="A14" s="2">
        <v>43568</v>
      </c>
      <c r="B14" s="4">
        <f>22.5*2</f>
        <v>45</v>
      </c>
      <c r="C14" s="34">
        <f>B14*AD14</f>
        <v>26.990549999999995</v>
      </c>
      <c r="D14" s="4">
        <f>6+35</f>
        <v>41</v>
      </c>
      <c r="E14" s="34">
        <f>D14*AD14</f>
        <v>24.591389999999997</v>
      </c>
      <c r="F14" s="4">
        <v>24</v>
      </c>
      <c r="G14" s="34">
        <f>F14*AD14</f>
        <v>14.394959999999998</v>
      </c>
      <c r="H14" s="4"/>
      <c r="I14" s="34">
        <f>H14*AD14</f>
        <v>0</v>
      </c>
      <c r="J14" s="4"/>
      <c r="K14" s="34">
        <f>J14*AD14</f>
        <v>0</v>
      </c>
      <c r="L14" s="4">
        <v>75</v>
      </c>
      <c r="M14" s="34">
        <f>L14*AD14</f>
        <v>44.984249999999996</v>
      </c>
      <c r="O14" s="34">
        <f>N14*AD14</f>
        <v>0</v>
      </c>
      <c r="Q14" s="34">
        <f>P14*AD14</f>
        <v>0</v>
      </c>
      <c r="R14" s="4"/>
      <c r="S14" s="4"/>
      <c r="T14" s="4" t="s">
        <v>148</v>
      </c>
      <c r="U14" s="4"/>
      <c r="V14" s="4"/>
      <c r="W14" s="4"/>
      <c r="X14" s="4"/>
      <c r="Y14" s="4"/>
      <c r="Z14" s="4"/>
      <c r="AA14" s="4"/>
      <c r="AB14" s="4" t="s">
        <v>223</v>
      </c>
      <c r="AC14" s="34">
        <f>B14+D14+F14+H14+J14+L14+N14+P14</f>
        <v>185</v>
      </c>
      <c r="AD14" s="62">
        <f>599.79/1000</f>
        <v>0.5997899999999999</v>
      </c>
      <c r="AE14" s="62">
        <f>AC14*AD14</f>
        <v>110.96114999999999</v>
      </c>
      <c r="AG14" s="34">
        <v>27</v>
      </c>
      <c r="AI14" s="34" t="s">
        <v>178</v>
      </c>
      <c r="AJ14" s="60">
        <f>SUM(O2:O994)</f>
        <v>0</v>
      </c>
    </row>
    <row r="15" spans="1:36" ht="14.25">
      <c r="A15" s="2">
        <v>43569</v>
      </c>
      <c r="B15" s="4">
        <f>25*2</f>
        <v>50</v>
      </c>
      <c r="C15" s="34">
        <f>B15*AD15</f>
        <v>29.989499999999996</v>
      </c>
      <c r="D15" s="4">
        <f>32+13.8+10</f>
        <v>55.8</v>
      </c>
      <c r="E15" s="34">
        <f>D15*AD15</f>
        <v>33.468281999999995</v>
      </c>
      <c r="F15" s="4">
        <v>24</v>
      </c>
      <c r="G15" s="34">
        <f>F15*AD15</f>
        <v>14.394959999999998</v>
      </c>
      <c r="H15" s="4"/>
      <c r="I15" s="34">
        <f>H15*AD15</f>
        <v>0</v>
      </c>
      <c r="J15" s="4"/>
      <c r="K15" s="34">
        <f>J15*AD15</f>
        <v>0</v>
      </c>
      <c r="L15" s="4">
        <v>66</v>
      </c>
      <c r="M15" s="34">
        <f>L15*AD15</f>
        <v>39.58613999999999</v>
      </c>
      <c r="O15" s="34">
        <f>N15*AD15</f>
        <v>0</v>
      </c>
      <c r="Q15" s="34">
        <f>P15*AD15</f>
        <v>0</v>
      </c>
      <c r="R15" s="4"/>
      <c r="S15" s="4"/>
      <c r="T15" s="4"/>
      <c r="U15" s="4"/>
      <c r="V15" s="4"/>
      <c r="W15" s="4"/>
      <c r="X15" s="4"/>
      <c r="Y15" s="4" t="s">
        <v>148</v>
      </c>
      <c r="Z15" s="4"/>
      <c r="AA15" s="4"/>
      <c r="AB15" s="4" t="s">
        <v>225</v>
      </c>
      <c r="AC15" s="34">
        <f>B15+D15+F15+H15+J15+L15+N15+P15</f>
        <v>195.8</v>
      </c>
      <c r="AD15" s="62">
        <f>599.79/1000</f>
        <v>0.5997899999999999</v>
      </c>
      <c r="AE15" s="62">
        <f>AC15*AD15</f>
        <v>117.43888199999999</v>
      </c>
      <c r="AG15" s="34">
        <v>27</v>
      </c>
      <c r="AI15" s="34" t="s">
        <v>179</v>
      </c>
      <c r="AJ15" s="34">
        <f>SUM(Q2:Q60)</f>
        <v>0</v>
      </c>
    </row>
    <row r="16" spans="1:35" ht="14.25">
      <c r="A16" s="2">
        <v>43570</v>
      </c>
      <c r="B16" s="4"/>
      <c r="C16" s="34">
        <f>B16*AD16</f>
        <v>0</v>
      </c>
      <c r="D16" s="4">
        <f>12+32</f>
        <v>44</v>
      </c>
      <c r="E16" s="34">
        <f>D16*AD16</f>
        <v>26.390759999999997</v>
      </c>
      <c r="F16" s="4">
        <v>24</v>
      </c>
      <c r="G16" s="34">
        <f>F16*AD16</f>
        <v>14.394959999999998</v>
      </c>
      <c r="H16" s="4"/>
      <c r="I16" s="34">
        <f>H16*AD16</f>
        <v>0</v>
      </c>
      <c r="J16" s="4"/>
      <c r="K16" s="34">
        <f>J16*AD16</f>
        <v>0</v>
      </c>
      <c r="L16" s="4">
        <v>66</v>
      </c>
      <c r="M16" s="34">
        <f>L16*AD16</f>
        <v>39.58613999999999</v>
      </c>
      <c r="O16" s="34">
        <f>N16*AD16</f>
        <v>0</v>
      </c>
      <c r="Q16" s="34">
        <f>P16*AD16</f>
        <v>0</v>
      </c>
      <c r="R16" s="4"/>
      <c r="S16" s="4"/>
      <c r="T16" s="4"/>
      <c r="U16" s="4"/>
      <c r="V16" s="4"/>
      <c r="W16" s="4"/>
      <c r="X16" s="4"/>
      <c r="Y16" s="4" t="s">
        <v>148</v>
      </c>
      <c r="Z16" s="4"/>
      <c r="AA16" s="4"/>
      <c r="AB16" s="4" t="s">
        <v>226</v>
      </c>
      <c r="AC16" s="34">
        <f>B16+D16+F16+H16+J16+L16+N16+P16</f>
        <v>134</v>
      </c>
      <c r="AD16" s="62">
        <f>599.79/1000</f>
        <v>0.5997899999999999</v>
      </c>
      <c r="AE16" s="62">
        <f>AC16*AD16</f>
        <v>80.37186</v>
      </c>
      <c r="AG16" s="34">
        <v>27</v>
      </c>
      <c r="AI16" s="65"/>
    </row>
    <row r="17" spans="1:44" ht="14.25">
      <c r="A17" s="2">
        <v>43571</v>
      </c>
      <c r="B17" s="4">
        <f>150*2+5*4</f>
        <v>320</v>
      </c>
      <c r="C17" s="34">
        <f>B17*AD17</f>
        <v>191.9328</v>
      </c>
      <c r="D17" s="4">
        <f>60</f>
        <v>60</v>
      </c>
      <c r="E17" s="34">
        <f>D17*AD17</f>
        <v>35.987399999999994</v>
      </c>
      <c r="F17" s="4">
        <v>20</v>
      </c>
      <c r="G17" s="34">
        <f>F17*AD17</f>
        <v>11.9958</v>
      </c>
      <c r="H17" s="4">
        <f>48*2</f>
        <v>96</v>
      </c>
      <c r="I17" s="34">
        <f>H17*AD17</f>
        <v>57.57983999999999</v>
      </c>
      <c r="J17" s="4"/>
      <c r="K17" s="34">
        <f>J17*AD17</f>
        <v>0</v>
      </c>
      <c r="L17" s="4">
        <v>66</v>
      </c>
      <c r="M17" s="34">
        <f>L17*AD17</f>
        <v>39.58613999999999</v>
      </c>
      <c r="O17" s="34">
        <f>N17*AD17</f>
        <v>0</v>
      </c>
      <c r="Q17" s="34">
        <f>P17*AD17</f>
        <v>0</v>
      </c>
      <c r="R17" s="4"/>
      <c r="S17" s="4"/>
      <c r="T17" s="4"/>
      <c r="U17" s="4"/>
      <c r="V17" s="4"/>
      <c r="W17" s="4"/>
      <c r="X17" s="4"/>
      <c r="Y17" s="4" t="s">
        <v>148</v>
      </c>
      <c r="Z17" s="4"/>
      <c r="AA17" s="4"/>
      <c r="AB17" s="4" t="s">
        <v>226</v>
      </c>
      <c r="AC17" s="34">
        <f>B17+D17+F17+H17+J17+L17+N17+P17</f>
        <v>562</v>
      </c>
      <c r="AD17" s="62">
        <f>599.79/1000</f>
        <v>0.5997899999999999</v>
      </c>
      <c r="AE17" s="62">
        <f>AC17*AD17</f>
        <v>337.08198</v>
      </c>
      <c r="AG17" s="34">
        <v>27</v>
      </c>
      <c r="AR17" s="59"/>
    </row>
    <row r="18" spans="1:44" ht="14.25">
      <c r="A18" s="2">
        <v>43572</v>
      </c>
      <c r="B18" s="4"/>
      <c r="C18" s="34">
        <f>B18*AD18</f>
        <v>0</v>
      </c>
      <c r="D18" s="4">
        <f>19.8</f>
        <v>19.8</v>
      </c>
      <c r="E18" s="34">
        <f>D18*AD18</f>
        <v>11.875841999999999</v>
      </c>
      <c r="F18" s="4">
        <v>20</v>
      </c>
      <c r="G18" s="34">
        <f>F18*AD18</f>
        <v>11.9958</v>
      </c>
      <c r="H18" s="4"/>
      <c r="I18" s="34">
        <f>H18*AD18</f>
        <v>0</v>
      </c>
      <c r="J18" s="4"/>
      <c r="K18" s="34">
        <f>J18*AD18</f>
        <v>0</v>
      </c>
      <c r="L18" s="4">
        <v>63</v>
      </c>
      <c r="M18" s="34">
        <f>L18*AD18</f>
        <v>37.78677</v>
      </c>
      <c r="O18" s="34">
        <f>N18*AD18</f>
        <v>0</v>
      </c>
      <c r="Q18" s="34">
        <f>P18*AD18</f>
        <v>0</v>
      </c>
      <c r="R18" s="4"/>
      <c r="S18" s="4"/>
      <c r="T18" s="4" t="s">
        <v>148</v>
      </c>
      <c r="U18" s="4"/>
      <c r="V18" s="4"/>
      <c r="W18" s="4"/>
      <c r="X18" s="4"/>
      <c r="Y18" s="4"/>
      <c r="Z18" s="4"/>
      <c r="AA18" s="4"/>
      <c r="AB18" s="4" t="s">
        <v>227</v>
      </c>
      <c r="AC18" s="34">
        <f>B18+D18+F18+H18+J18+L18+N18+P18</f>
        <v>102.8</v>
      </c>
      <c r="AD18" s="62">
        <f>599.79/1000</f>
        <v>0.5997899999999999</v>
      </c>
      <c r="AE18" s="62">
        <f>AC18*AD18</f>
        <v>61.65841199999999</v>
      </c>
      <c r="AG18" s="34">
        <v>27</v>
      </c>
      <c r="AI18" s="34" t="s">
        <v>182</v>
      </c>
      <c r="AJ18" s="34">
        <f>SUM(AA2:AA50)</f>
        <v>0</v>
      </c>
      <c r="AR18" s="59"/>
    </row>
    <row r="19" spans="1:33" ht="14.25">
      <c r="A19" s="2">
        <v>43573</v>
      </c>
      <c r="B19" s="4">
        <f>2*4</f>
        <v>8</v>
      </c>
      <c r="C19" s="34">
        <f>B19*AD19</f>
        <v>4.7983199999999995</v>
      </c>
      <c r="D19" s="4">
        <f>142</f>
        <v>142</v>
      </c>
      <c r="E19" s="34">
        <f>D19*AD19</f>
        <v>85.17017999999999</v>
      </c>
      <c r="F19" s="4">
        <v>20</v>
      </c>
      <c r="G19" s="34">
        <f>F19*AD19</f>
        <v>11.9958</v>
      </c>
      <c r="H19" s="4"/>
      <c r="I19" s="34">
        <f>H19*AD19</f>
        <v>0</v>
      </c>
      <c r="J19" s="4"/>
      <c r="K19" s="34">
        <f>J19*AD19</f>
        <v>0</v>
      </c>
      <c r="L19" s="4">
        <v>63</v>
      </c>
      <c r="M19" s="34">
        <f>L19*AD19</f>
        <v>37.78677</v>
      </c>
      <c r="O19" s="34">
        <f>N19*AD19</f>
        <v>0</v>
      </c>
      <c r="Q19" s="34">
        <f>P19*AD19</f>
        <v>0</v>
      </c>
      <c r="R19" s="4"/>
      <c r="S19" s="4"/>
      <c r="T19" s="4" t="s">
        <v>148</v>
      </c>
      <c r="U19" s="4"/>
      <c r="V19" s="4"/>
      <c r="W19" s="4"/>
      <c r="X19" s="4"/>
      <c r="Y19" s="4"/>
      <c r="Z19" s="4"/>
      <c r="AA19" s="4"/>
      <c r="AB19" s="4" t="s">
        <v>228</v>
      </c>
      <c r="AC19" s="34">
        <f>B19+D19+F19+H19+J19+L19+N19+P19</f>
        <v>233</v>
      </c>
      <c r="AD19" s="62">
        <f>599.79/1000</f>
        <v>0.5997899999999999</v>
      </c>
      <c r="AE19" s="62">
        <f>AC19*AD19</f>
        <v>139.75107</v>
      </c>
      <c r="AG19" s="34">
        <v>27</v>
      </c>
    </row>
    <row r="20" spans="1:33" ht="14.25">
      <c r="A20" s="2">
        <v>43574</v>
      </c>
      <c r="B20" s="4"/>
      <c r="C20" s="34">
        <f>B20*AD20</f>
        <v>0</v>
      </c>
      <c r="D20" s="4">
        <f>3.6</f>
        <v>3.6</v>
      </c>
      <c r="E20" s="34">
        <f>D20*AD20</f>
        <v>2.1592439999999997</v>
      </c>
      <c r="F20" s="4">
        <v>20</v>
      </c>
      <c r="G20" s="34">
        <f>F20*AD20</f>
        <v>11.9958</v>
      </c>
      <c r="H20" s="4"/>
      <c r="I20" s="34">
        <f>H20*AD20</f>
        <v>0</v>
      </c>
      <c r="J20" s="4"/>
      <c r="K20" s="34">
        <f>J20*AD20</f>
        <v>0</v>
      </c>
      <c r="L20" s="4">
        <v>63</v>
      </c>
      <c r="M20" s="34">
        <f>L20*AD20</f>
        <v>37.78677</v>
      </c>
      <c r="O20" s="34">
        <f>N20*AD20</f>
        <v>0</v>
      </c>
      <c r="Q20" s="34">
        <f>P20*AD20</f>
        <v>0</v>
      </c>
      <c r="R20" s="4"/>
      <c r="S20" s="4"/>
      <c r="T20" s="4" t="s">
        <v>148</v>
      </c>
      <c r="U20" s="4"/>
      <c r="V20" s="4"/>
      <c r="W20" s="4"/>
      <c r="X20" s="4"/>
      <c r="Y20" s="4"/>
      <c r="Z20" s="4"/>
      <c r="AA20" s="4"/>
      <c r="AB20" s="4" t="s">
        <v>228</v>
      </c>
      <c r="AC20" s="34">
        <f>B20+D20+F20+H20+J20+L20+N20+P20</f>
        <v>86.6</v>
      </c>
      <c r="AD20" s="62">
        <f>599.79/1000</f>
        <v>0.5997899999999999</v>
      </c>
      <c r="AE20" s="62">
        <f>AC20*AD20</f>
        <v>51.941813999999994</v>
      </c>
      <c r="AG20" s="34">
        <v>27</v>
      </c>
    </row>
    <row r="21" spans="1:33" ht="14.25">
      <c r="A21" s="2">
        <v>43575</v>
      </c>
      <c r="B21" s="4">
        <v>8</v>
      </c>
      <c r="C21" s="34">
        <f>B21*AD21</f>
        <v>4.98928</v>
      </c>
      <c r="D21" s="4">
        <v>34.7</v>
      </c>
      <c r="E21" s="34">
        <f>D21*AD21</f>
        <v>21.641002</v>
      </c>
      <c r="F21" s="4">
        <v>20</v>
      </c>
      <c r="G21" s="34">
        <f>F21*AD21</f>
        <v>12.4732</v>
      </c>
      <c r="H21" s="4"/>
      <c r="I21" s="34">
        <f>H21*AD21</f>
        <v>0</v>
      </c>
      <c r="J21" s="4"/>
      <c r="K21" s="34">
        <f>J21*AD21</f>
        <v>0</v>
      </c>
      <c r="L21" s="4">
        <v>61</v>
      </c>
      <c r="M21" s="34">
        <f>L21*AD21</f>
        <v>38.04326</v>
      </c>
      <c r="O21" s="34">
        <f>N21*AD21</f>
        <v>0</v>
      </c>
      <c r="Q21" s="34">
        <f>P21*AD21</f>
        <v>0</v>
      </c>
      <c r="R21" s="4"/>
      <c r="S21" s="4"/>
      <c r="T21" s="4" t="s">
        <v>148</v>
      </c>
      <c r="U21" s="4"/>
      <c r="V21" s="4"/>
      <c r="W21" s="4"/>
      <c r="X21" s="4"/>
      <c r="Y21" s="4"/>
      <c r="Z21" s="4"/>
      <c r="AA21" s="4"/>
      <c r="AB21" s="4" t="s">
        <v>228</v>
      </c>
      <c r="AC21" s="34">
        <f>B21+D21+F21+H21+J21+L21+N21+P21</f>
        <v>123.7</v>
      </c>
      <c r="AD21" s="62">
        <f>623.66/1000</f>
        <v>0.62366</v>
      </c>
      <c r="AE21" s="62">
        <f>AC21*AD21</f>
        <v>77.146742</v>
      </c>
      <c r="AG21" s="34">
        <v>27</v>
      </c>
    </row>
    <row r="22" spans="1:33" ht="14.25">
      <c r="A22" s="2">
        <v>43576</v>
      </c>
      <c r="B22" s="4">
        <f>230.5</f>
        <v>230.5</v>
      </c>
      <c r="C22" s="34">
        <f>B22*AD22</f>
        <v>143.75363</v>
      </c>
      <c r="D22" s="4">
        <f>2</f>
        <v>2</v>
      </c>
      <c r="E22" s="34">
        <f>D22*AD22</f>
        <v>1.24732</v>
      </c>
      <c r="F22" s="4">
        <v>24</v>
      </c>
      <c r="G22" s="34">
        <f>F22*AD22</f>
        <v>14.967839999999999</v>
      </c>
      <c r="H22" s="4"/>
      <c r="I22" s="34">
        <f>H22*AD22</f>
        <v>0</v>
      </c>
      <c r="J22" s="4"/>
      <c r="K22" s="34">
        <f>J22*AD22</f>
        <v>0</v>
      </c>
      <c r="L22" s="4">
        <v>61</v>
      </c>
      <c r="M22" s="34">
        <f>L22*AD22</f>
        <v>38.04326</v>
      </c>
      <c r="O22" s="34">
        <f>N22*AD22</f>
        <v>0</v>
      </c>
      <c r="Q22" s="34">
        <f>P22*AD22</f>
        <v>0</v>
      </c>
      <c r="R22" s="4"/>
      <c r="S22" s="4"/>
      <c r="T22" s="4" t="s">
        <v>148</v>
      </c>
      <c r="U22" s="4"/>
      <c r="V22" s="4"/>
      <c r="W22" s="4"/>
      <c r="X22" s="4"/>
      <c r="Y22" s="4"/>
      <c r="Z22" s="4"/>
      <c r="AA22" s="4"/>
      <c r="AB22" s="4" t="s">
        <v>228</v>
      </c>
      <c r="AC22" s="34">
        <f>B22+D22+F22+H22+J22+L22+N22+P22</f>
        <v>317.5</v>
      </c>
      <c r="AD22" s="62">
        <f>623.66/1000</f>
        <v>0.62366</v>
      </c>
      <c r="AE22" s="62">
        <f>AC22*AD22</f>
        <v>198.01205</v>
      </c>
      <c r="AG22" s="34">
        <v>27</v>
      </c>
    </row>
    <row r="23" spans="1:33" ht="14.25">
      <c r="A23" s="2">
        <v>43577</v>
      </c>
      <c r="B23" s="4">
        <f>4</f>
        <v>4</v>
      </c>
      <c r="C23" s="34">
        <f>B23*AD23</f>
        <v>2.49464</v>
      </c>
      <c r="D23" s="4">
        <f>6+5</f>
        <v>11</v>
      </c>
      <c r="E23" s="34">
        <f>D23*AD23</f>
        <v>6.86026</v>
      </c>
      <c r="F23" s="4">
        <v>40</v>
      </c>
      <c r="G23" s="34">
        <f>F23*AD23</f>
        <v>24.9464</v>
      </c>
      <c r="H23" s="4"/>
      <c r="I23" s="34">
        <f>H23*AD23</f>
        <v>0</v>
      </c>
      <c r="J23" s="4"/>
      <c r="K23" s="34">
        <f>J23*AD23</f>
        <v>0</v>
      </c>
      <c r="L23" s="4"/>
      <c r="M23" s="34">
        <f>L23*AD23</f>
        <v>0</v>
      </c>
      <c r="O23" s="34">
        <f>N23*AD23</f>
        <v>0</v>
      </c>
      <c r="Q23" s="34">
        <f>P23*AD23</f>
        <v>0</v>
      </c>
      <c r="R23" s="4"/>
      <c r="S23" s="4"/>
      <c r="T23" s="4"/>
      <c r="U23" s="4"/>
      <c r="V23" s="4"/>
      <c r="W23" s="4"/>
      <c r="X23" s="4"/>
      <c r="Y23" s="4"/>
      <c r="Z23" s="4" t="s">
        <v>148</v>
      </c>
      <c r="AA23" s="4"/>
      <c r="AB23" s="4" t="s">
        <v>229</v>
      </c>
      <c r="AC23" s="34">
        <f>B23+D23+F23+H23+J23+L23+N23+P23</f>
        <v>55</v>
      </c>
      <c r="AD23" s="62">
        <f>623.66/1000</f>
        <v>0.62366</v>
      </c>
      <c r="AE23" s="62">
        <f>AC23*AD23</f>
        <v>34.3013</v>
      </c>
      <c r="AG23" s="34">
        <v>27</v>
      </c>
    </row>
    <row r="24" spans="1:33" ht="14.25">
      <c r="A24" s="2">
        <v>43578</v>
      </c>
      <c r="B24" s="4">
        <v>87</v>
      </c>
      <c r="C24" s="34">
        <f>B24*AD24</f>
        <v>46.303333333333335</v>
      </c>
      <c r="D24" s="4">
        <f>42</f>
        <v>42</v>
      </c>
      <c r="E24" s="34">
        <f>D24*AD24</f>
        <v>22.353333333333335</v>
      </c>
      <c r="F24" s="4"/>
      <c r="G24" s="34">
        <f>F24*AD24</f>
        <v>0</v>
      </c>
      <c r="H24" s="4"/>
      <c r="I24" s="34">
        <f>H24*AD24</f>
        <v>0</v>
      </c>
      <c r="J24" s="4"/>
      <c r="K24" s="34">
        <f>J24*AD24</f>
        <v>0</v>
      </c>
      <c r="L24" s="4">
        <v>107</v>
      </c>
      <c r="M24" s="34">
        <f>L24*AD24</f>
        <v>56.94777777777778</v>
      </c>
      <c r="O24" s="34">
        <f>N24*AD24</f>
        <v>0</v>
      </c>
      <c r="Q24" s="34">
        <f>P24*AD24</f>
        <v>0</v>
      </c>
      <c r="R24" s="4"/>
      <c r="S24" s="4"/>
      <c r="T24" s="4" t="s">
        <v>148</v>
      </c>
      <c r="U24" s="4"/>
      <c r="V24" s="4"/>
      <c r="W24" s="4"/>
      <c r="X24" s="4"/>
      <c r="Y24" s="4"/>
      <c r="Z24" s="4"/>
      <c r="AA24" s="4"/>
      <c r="AB24" s="4" t="s">
        <v>230</v>
      </c>
      <c r="AC24" s="34">
        <f>B24+D24+F24+H24+J24+L24+N24+P24</f>
        <v>236</v>
      </c>
      <c r="AD24" s="62">
        <f>(450+29)/900</f>
        <v>0.5322222222222223</v>
      </c>
      <c r="AE24" s="62">
        <f>AC24*AD24</f>
        <v>125.60444444444445</v>
      </c>
      <c r="AG24" s="34">
        <v>27</v>
      </c>
    </row>
    <row r="25" spans="1:33" ht="14.25">
      <c r="A25" s="2">
        <v>43579</v>
      </c>
      <c r="B25" s="4">
        <v>87</v>
      </c>
      <c r="C25" s="34">
        <f>B25*AD25</f>
        <v>46.303333333333335</v>
      </c>
      <c r="D25" s="4"/>
      <c r="E25" s="34">
        <f>D25*AD25</f>
        <v>0</v>
      </c>
      <c r="F25" s="4"/>
      <c r="G25" s="34">
        <f>F25*AD25</f>
        <v>0</v>
      </c>
      <c r="H25" s="4"/>
      <c r="I25" s="34">
        <f>H25*AD25</f>
        <v>0</v>
      </c>
      <c r="J25" s="4"/>
      <c r="K25" s="34">
        <f>J25*AD25</f>
        <v>0</v>
      </c>
      <c r="L25" s="4"/>
      <c r="M25" s="34">
        <f>L25*AD25</f>
        <v>0</v>
      </c>
      <c r="O25" s="34">
        <f>N25*AD25</f>
        <v>0</v>
      </c>
      <c r="Q25" s="34">
        <f>P25*AD25</f>
        <v>0</v>
      </c>
      <c r="R25" s="4"/>
      <c r="S25" s="4"/>
      <c r="T25" s="4"/>
      <c r="U25" s="4"/>
      <c r="V25" s="4"/>
      <c r="W25" s="4"/>
      <c r="X25" s="4"/>
      <c r="Y25" s="4"/>
      <c r="Z25" s="4"/>
      <c r="AA25" s="4"/>
      <c r="AB25" s="4"/>
      <c r="AC25" s="34">
        <f>B25+D25+F25+H25+J25+L25+N25+P25</f>
        <v>87</v>
      </c>
      <c r="AD25" s="62">
        <f>(450+29)/900</f>
        <v>0.5322222222222223</v>
      </c>
      <c r="AE25" s="62">
        <f>AC25*AD25</f>
        <v>46.303333333333335</v>
      </c>
      <c r="AG25" s="34">
        <v>27</v>
      </c>
    </row>
    <row r="26" spans="1:33" ht="14.25">
      <c r="A26" s="2"/>
      <c r="B26" s="4">
        <f>12+366</f>
        <v>378</v>
      </c>
      <c r="C26" s="34">
        <f>B26*AD26</f>
        <v>235.74348</v>
      </c>
      <c r="D26" s="4">
        <f>28</f>
        <v>28</v>
      </c>
      <c r="E26" s="34">
        <f>D26*AD26</f>
        <v>17.46248</v>
      </c>
      <c r="F26" s="4">
        <v>30</v>
      </c>
      <c r="G26" s="34">
        <f>F26*AD26</f>
        <v>18.7098</v>
      </c>
      <c r="H26" s="4"/>
      <c r="I26" s="34">
        <f>H26*AD26</f>
        <v>0</v>
      </c>
      <c r="J26" s="4"/>
      <c r="K26" s="34">
        <f>J26*AD26</f>
        <v>0</v>
      </c>
      <c r="L26" s="4">
        <v>70</v>
      </c>
      <c r="M26" s="34">
        <f>L26*AD26</f>
        <v>43.6562</v>
      </c>
      <c r="O26" s="34">
        <f>N26*AD26</f>
        <v>0</v>
      </c>
      <c r="Q26" s="34">
        <f>P26*AD26</f>
        <v>0</v>
      </c>
      <c r="R26" s="4"/>
      <c r="S26" s="4"/>
      <c r="T26" s="4" t="s">
        <v>148</v>
      </c>
      <c r="U26" s="4"/>
      <c r="V26" s="4"/>
      <c r="W26" s="4"/>
      <c r="X26" s="4"/>
      <c r="Y26" s="4"/>
      <c r="Z26" s="4"/>
      <c r="AA26" s="4"/>
      <c r="AB26" s="4" t="s">
        <v>231</v>
      </c>
      <c r="AC26" s="34">
        <f>B26+D26+F26+H26+J26+L26+N26+P26</f>
        <v>506</v>
      </c>
      <c r="AD26" s="62">
        <f>623.66/1000</f>
        <v>0.62366</v>
      </c>
      <c r="AE26" s="62">
        <f>AC26*AD26</f>
        <v>315.57196</v>
      </c>
      <c r="AG26" s="34">
        <v>27</v>
      </c>
    </row>
    <row r="27" spans="1:33" ht="14.25">
      <c r="A27" s="2">
        <v>43580</v>
      </c>
      <c r="B27" s="4">
        <f>3+3+2+2</f>
        <v>10</v>
      </c>
      <c r="C27" s="34">
        <f>B27*AD27</f>
        <v>6.2366</v>
      </c>
      <c r="D27" s="4">
        <v>35</v>
      </c>
      <c r="E27" s="34">
        <f>D27*AD27</f>
        <v>21.8281</v>
      </c>
      <c r="F27" s="4">
        <v>27</v>
      </c>
      <c r="G27" s="34">
        <f>F27*AD27</f>
        <v>16.83882</v>
      </c>
      <c r="H27" s="4"/>
      <c r="I27" s="34">
        <f>H27*AD27</f>
        <v>0</v>
      </c>
      <c r="J27" s="4"/>
      <c r="K27" s="34">
        <f>J27*AD27</f>
        <v>0</v>
      </c>
      <c r="L27" s="4">
        <v>62</v>
      </c>
      <c r="M27" s="34">
        <f>L27*AD27</f>
        <v>38.66692</v>
      </c>
      <c r="O27" s="34">
        <f>N27*AD27</f>
        <v>0</v>
      </c>
      <c r="Q27" s="34">
        <f>P27*AD27</f>
        <v>0</v>
      </c>
      <c r="R27" s="4"/>
      <c r="S27" s="4"/>
      <c r="T27" s="4"/>
      <c r="U27" s="4"/>
      <c r="V27" s="4"/>
      <c r="W27" s="4"/>
      <c r="X27" s="4"/>
      <c r="Y27" s="4" t="s">
        <v>148</v>
      </c>
      <c r="Z27" s="4"/>
      <c r="AA27" s="4"/>
      <c r="AB27" s="4" t="s">
        <v>232</v>
      </c>
      <c r="AC27" s="34">
        <f>B27+D27+F27+H27+J27+L27+N27+P27</f>
        <v>134</v>
      </c>
      <c r="AD27" s="62">
        <f>623.66/1000</f>
        <v>0.62366</v>
      </c>
      <c r="AE27" s="62">
        <f>AC27*AD27</f>
        <v>83.57044</v>
      </c>
      <c r="AG27" s="34">
        <v>27</v>
      </c>
    </row>
    <row r="28" spans="1:33" ht="14.25">
      <c r="A28" s="2">
        <v>43581</v>
      </c>
      <c r="B28" s="4"/>
      <c r="C28" s="34">
        <f>B28*AD28</f>
        <v>0</v>
      </c>
      <c r="D28" s="4">
        <v>7</v>
      </c>
      <c r="E28" s="34">
        <f>D28*AD28</f>
        <v>4.36562</v>
      </c>
      <c r="F28" s="4">
        <v>30</v>
      </c>
      <c r="G28" s="34">
        <f>F28*AD28</f>
        <v>18.7098</v>
      </c>
      <c r="H28" s="4"/>
      <c r="I28" s="34">
        <f>H28*AD28</f>
        <v>0</v>
      </c>
      <c r="J28" s="4"/>
      <c r="K28" s="34">
        <f>J28*AD28</f>
        <v>0</v>
      </c>
      <c r="L28" s="4">
        <v>62</v>
      </c>
      <c r="M28" s="34">
        <f>L28*AD28</f>
        <v>38.66692</v>
      </c>
      <c r="O28" s="34">
        <f>N28*AD28</f>
        <v>0</v>
      </c>
      <c r="Q28" s="34">
        <f>P28*AD28</f>
        <v>0</v>
      </c>
      <c r="R28" s="4"/>
      <c r="S28" s="4"/>
      <c r="T28" s="4"/>
      <c r="U28" s="4"/>
      <c r="V28" s="4"/>
      <c r="W28" s="4"/>
      <c r="X28" s="4"/>
      <c r="Y28" s="4" t="s">
        <v>148</v>
      </c>
      <c r="Z28" s="4"/>
      <c r="AA28" s="4"/>
      <c r="AB28" s="4" t="s">
        <v>233</v>
      </c>
      <c r="AC28" s="34">
        <f>B28+D28+F28+H28+J28+L28+N28+P28</f>
        <v>99</v>
      </c>
      <c r="AD28" s="62">
        <f>623.66/1000</f>
        <v>0.62366</v>
      </c>
      <c r="AE28" s="62">
        <f>AC28*AD28</f>
        <v>61.74234</v>
      </c>
      <c r="AG28" s="34">
        <v>27</v>
      </c>
    </row>
    <row r="29" spans="1:33" ht="14.25">
      <c r="A29" s="2">
        <v>43582</v>
      </c>
      <c r="B29" s="4">
        <f>227*2</f>
        <v>454</v>
      </c>
      <c r="C29" s="34">
        <f>B29*AD29</f>
        <v>283.14164</v>
      </c>
      <c r="D29" s="4">
        <f>58.5</f>
        <v>58.5</v>
      </c>
      <c r="E29" s="34">
        <f>D29*AD29</f>
        <v>36.48411</v>
      </c>
      <c r="F29" s="4">
        <v>24</v>
      </c>
      <c r="G29" s="34">
        <f>F29*AD29</f>
        <v>14.967839999999999</v>
      </c>
      <c r="H29" s="4"/>
      <c r="I29" s="34">
        <f>H29*AD29</f>
        <v>0</v>
      </c>
      <c r="J29" s="4"/>
      <c r="K29" s="34">
        <f>J29*AD29</f>
        <v>0</v>
      </c>
      <c r="L29" s="4">
        <v>62</v>
      </c>
      <c r="M29" s="34">
        <f>L29*AD29</f>
        <v>38.66692</v>
      </c>
      <c r="O29" s="34">
        <f>N29*AD29</f>
        <v>0</v>
      </c>
      <c r="Q29" s="34">
        <f>P29*AD29</f>
        <v>0</v>
      </c>
      <c r="R29" s="4"/>
      <c r="S29" s="4"/>
      <c r="T29" s="4"/>
      <c r="U29" s="4"/>
      <c r="V29" s="4"/>
      <c r="W29" s="4"/>
      <c r="X29" s="4"/>
      <c r="Y29" s="4" t="s">
        <v>148</v>
      </c>
      <c r="Z29" s="4"/>
      <c r="AA29" s="4"/>
      <c r="AB29" s="4" t="s">
        <v>233</v>
      </c>
      <c r="AC29" s="34">
        <f>B29+D29+F29+H29+J29+L29+N29+P29</f>
        <v>598.5</v>
      </c>
      <c r="AD29" s="62">
        <f>623.66/1000</f>
        <v>0.62366</v>
      </c>
      <c r="AE29" s="62">
        <f>AC29*AD29</f>
        <v>373.26051</v>
      </c>
      <c r="AG29" s="34">
        <v>27</v>
      </c>
    </row>
    <row r="30" spans="1:33" ht="14.25">
      <c r="A30" s="2">
        <v>43583</v>
      </c>
      <c r="B30" s="4">
        <v>4</v>
      </c>
      <c r="C30" s="34">
        <f>B30*AD30</f>
        <v>2.49464</v>
      </c>
      <c r="D30" s="4">
        <v>3</v>
      </c>
      <c r="E30" s="34">
        <f>D30*AD30</f>
        <v>1.8709799999999999</v>
      </c>
      <c r="F30" s="4">
        <v>26</v>
      </c>
      <c r="G30" s="34">
        <f>F30*AD30</f>
        <v>16.21516</v>
      </c>
      <c r="H30" s="4"/>
      <c r="I30" s="34">
        <f>H30*AD30</f>
        <v>0</v>
      </c>
      <c r="J30" s="4"/>
      <c r="K30" s="34">
        <f>J30*AD30</f>
        <v>0</v>
      </c>
      <c r="L30" s="4">
        <v>65</v>
      </c>
      <c r="M30" s="34">
        <f>L30*AD30</f>
        <v>40.5379</v>
      </c>
      <c r="O30" s="34">
        <f>N30*AD30</f>
        <v>0</v>
      </c>
      <c r="Q30" s="34">
        <f>P30*AD30</f>
        <v>0</v>
      </c>
      <c r="R30" s="4"/>
      <c r="S30" s="4"/>
      <c r="T30" s="4" t="s">
        <v>148</v>
      </c>
      <c r="U30" s="4"/>
      <c r="V30" s="4"/>
      <c r="W30" s="4"/>
      <c r="X30" s="4"/>
      <c r="Y30" s="4"/>
      <c r="Z30" s="4"/>
      <c r="AA30" s="4"/>
      <c r="AB30" s="4" t="s">
        <v>233</v>
      </c>
      <c r="AC30" s="34">
        <f>B30+D30+F30+H30+J30+L30+N30+P30</f>
        <v>98</v>
      </c>
      <c r="AD30" s="62">
        <f>623.66/1000</f>
        <v>0.62366</v>
      </c>
      <c r="AE30" s="62">
        <f>AC30*AD30</f>
        <v>61.11868</v>
      </c>
      <c r="AG30" s="34">
        <v>27</v>
      </c>
    </row>
    <row r="31" spans="1:33" ht="14.25">
      <c r="A31" s="2">
        <v>43584</v>
      </c>
      <c r="B31" s="4">
        <f>27+2+23.5*2</f>
        <v>76</v>
      </c>
      <c r="C31" s="34">
        <f>B31*AD31</f>
        <v>47.39816</v>
      </c>
      <c r="D31" s="4">
        <v>13</v>
      </c>
      <c r="E31" s="34">
        <f>D31*AD31</f>
        <v>8.10758</v>
      </c>
      <c r="F31" s="4">
        <v>26</v>
      </c>
      <c r="G31" s="34">
        <f>F31*AD31</f>
        <v>16.21516</v>
      </c>
      <c r="H31" s="4"/>
      <c r="I31" s="34">
        <f>H31*AD31</f>
        <v>0</v>
      </c>
      <c r="J31" s="4"/>
      <c r="K31" s="34">
        <f>J31*AD31</f>
        <v>0</v>
      </c>
      <c r="L31" s="4">
        <v>66</v>
      </c>
      <c r="M31" s="34">
        <f>L31*AD31</f>
        <v>41.16156</v>
      </c>
      <c r="O31" s="34">
        <f>N31*AD31</f>
        <v>0</v>
      </c>
      <c r="Q31" s="34">
        <f>P31*AD31</f>
        <v>0</v>
      </c>
      <c r="R31" s="4"/>
      <c r="S31" s="4"/>
      <c r="T31" s="4"/>
      <c r="U31" s="4"/>
      <c r="V31" s="4"/>
      <c r="W31" s="4"/>
      <c r="X31" s="4"/>
      <c r="Y31" s="4" t="s">
        <v>148</v>
      </c>
      <c r="Z31" s="4"/>
      <c r="AA31" s="4"/>
      <c r="AB31" s="4" t="s">
        <v>234</v>
      </c>
      <c r="AC31" s="34">
        <f>B31+D31+F31+H31+J31+L31+N31+P31</f>
        <v>181</v>
      </c>
      <c r="AD31" s="62">
        <f>623.66/1000</f>
        <v>0.62366</v>
      </c>
      <c r="AE31" s="62">
        <f>AC31*AD31</f>
        <v>112.88246</v>
      </c>
      <c r="AG31" s="34">
        <v>27</v>
      </c>
    </row>
    <row r="32" spans="1:33" ht="14.25">
      <c r="A32" s="2">
        <v>43585</v>
      </c>
      <c r="B32" s="4">
        <f>1.5*4</f>
        <v>6</v>
      </c>
      <c r="C32" s="34">
        <f>B32*AD32</f>
        <v>3.7419599999999997</v>
      </c>
      <c r="D32" s="4">
        <f>4+30.6</f>
        <v>34.6</v>
      </c>
      <c r="E32" s="34">
        <f>D32*AD32</f>
        <v>21.578636</v>
      </c>
      <c r="F32" s="4">
        <v>37.5</v>
      </c>
      <c r="G32" s="34">
        <f>F32*AD32</f>
        <v>23.387249999999998</v>
      </c>
      <c r="H32" s="4"/>
      <c r="I32" s="34">
        <f>H32*AD32</f>
        <v>0</v>
      </c>
      <c r="J32" s="4"/>
      <c r="K32" s="34">
        <f>J32*AD32</f>
        <v>0</v>
      </c>
      <c r="L32" s="4">
        <v>66</v>
      </c>
      <c r="M32" s="34">
        <f>L32*AD32</f>
        <v>41.16156</v>
      </c>
      <c r="O32" s="34">
        <f>N32*AD32</f>
        <v>0</v>
      </c>
      <c r="Q32" s="34">
        <f>P32*AD32</f>
        <v>0</v>
      </c>
      <c r="R32" s="4"/>
      <c r="S32" s="4"/>
      <c r="T32" s="4"/>
      <c r="U32" s="4"/>
      <c r="V32" s="4"/>
      <c r="W32" s="4"/>
      <c r="X32" s="4"/>
      <c r="Y32" s="4" t="s">
        <v>148</v>
      </c>
      <c r="Z32" s="4"/>
      <c r="AA32" s="4"/>
      <c r="AB32" s="4" t="s">
        <v>235</v>
      </c>
      <c r="AC32" s="34">
        <f>B32+D32+F32+H32+J32+L32+N32+P32</f>
        <v>144.1</v>
      </c>
      <c r="AD32" s="62">
        <f>623.66/1000</f>
        <v>0.62366</v>
      </c>
      <c r="AE32" s="62">
        <f>AC32*AD32</f>
        <v>89.869406</v>
      </c>
      <c r="AG32" s="34">
        <v>27</v>
      </c>
    </row>
    <row r="33" spans="1:33" ht="14.25">
      <c r="A33" s="2"/>
      <c r="B33" s="4"/>
      <c r="C33" s="34">
        <f>B33*AD33</f>
        <v>0</v>
      </c>
      <c r="D33" s="4"/>
      <c r="E33" s="34">
        <f>D33*AD33</f>
        <v>0</v>
      </c>
      <c r="F33" s="4"/>
      <c r="G33" s="34">
        <f>F33*AD33</f>
        <v>0</v>
      </c>
      <c r="H33" s="4"/>
      <c r="I33" s="34">
        <f>H33*AD33</f>
        <v>0</v>
      </c>
      <c r="J33" s="4"/>
      <c r="K33" s="34">
        <f>J33*AD33</f>
        <v>0</v>
      </c>
      <c r="L33" s="4"/>
      <c r="M33" s="34">
        <f>L33*AD33</f>
        <v>0</v>
      </c>
      <c r="O33" s="34">
        <f>N33*AD33</f>
        <v>0</v>
      </c>
      <c r="Q33" s="34">
        <f>P33*AD33</f>
        <v>0</v>
      </c>
      <c r="AC33" s="34">
        <f>B33+D33+F33+H33+J33+L33+N33+P33</f>
        <v>0</v>
      </c>
      <c r="AD33" s="62">
        <f>623.66/1000</f>
        <v>0.62366</v>
      </c>
      <c r="AE33" s="62">
        <f>AC33*AD33</f>
        <v>0</v>
      </c>
      <c r="AG33" s="34">
        <v>27</v>
      </c>
    </row>
    <row r="34" spans="1:33" ht="14.25">
      <c r="A34" s="4"/>
      <c r="B34" s="4"/>
      <c r="C34" s="34">
        <f>B34*AD34</f>
        <v>0</v>
      </c>
      <c r="D34" s="4"/>
      <c r="E34" s="34">
        <f>D34*AD34</f>
        <v>0</v>
      </c>
      <c r="F34" s="4"/>
      <c r="G34" s="34">
        <f>F34*AD34</f>
        <v>0</v>
      </c>
      <c r="H34" s="4"/>
      <c r="I34" s="34">
        <f>H34*AD34</f>
        <v>0</v>
      </c>
      <c r="J34" s="4"/>
      <c r="K34" s="34">
        <f>J34*AD34</f>
        <v>0</v>
      </c>
      <c r="L34" s="4"/>
      <c r="M34" s="34">
        <f>L34*AD34</f>
        <v>0</v>
      </c>
      <c r="O34" s="34">
        <f>N34*AD34</f>
        <v>0</v>
      </c>
      <c r="Q34" s="34">
        <f>P34*AD34</f>
        <v>0</v>
      </c>
      <c r="AC34" s="34">
        <f>B34+D34+F34+H34+J34+L34+N34+P34</f>
        <v>0</v>
      </c>
      <c r="AD34" s="62">
        <f>599.79/1000</f>
        <v>0.5997899999999999</v>
      </c>
      <c r="AE34" s="62">
        <f>AC34*AD34</f>
        <v>0</v>
      </c>
      <c r="AG34" s="34">
        <v>27</v>
      </c>
    </row>
    <row r="35" spans="1:33" ht="14.25">
      <c r="A35" s="4"/>
      <c r="B35" s="4"/>
      <c r="C35" s="34">
        <f>B35*AD35</f>
        <v>0</v>
      </c>
      <c r="D35" s="4"/>
      <c r="E35" s="34">
        <f>D35*AD35</f>
        <v>0</v>
      </c>
      <c r="F35" s="4"/>
      <c r="G35" s="34">
        <f>F35*AD35</f>
        <v>0</v>
      </c>
      <c r="H35" s="4"/>
      <c r="I35" s="34">
        <f>H35*AD35</f>
        <v>0</v>
      </c>
      <c r="J35" s="4"/>
      <c r="K35" s="34">
        <f>J35*AD35</f>
        <v>0</v>
      </c>
      <c r="L35" s="4"/>
      <c r="M35" s="34">
        <f>L35*AD35</f>
        <v>0</v>
      </c>
      <c r="O35" s="34">
        <f>N35*AD35</f>
        <v>0</v>
      </c>
      <c r="Q35" s="34">
        <f>P35*AD35</f>
        <v>0</v>
      </c>
      <c r="AC35" s="34">
        <f>B35+D35+F35+H35+J35+L35+N35+P35</f>
        <v>0</v>
      </c>
      <c r="AD35" s="62">
        <f>599.79/1000</f>
        <v>0.5997899999999999</v>
      </c>
      <c r="AE35" s="62">
        <f>AC35*AD35</f>
        <v>0</v>
      </c>
      <c r="AG35" s="34">
        <v>27</v>
      </c>
    </row>
    <row r="36" spans="1:31" ht="14.25">
      <c r="A36" s="4"/>
      <c r="B36" s="4"/>
      <c r="C36" s="34">
        <f>B36*AD36</f>
        <v>0</v>
      </c>
      <c r="D36" s="4"/>
      <c r="E36" s="34">
        <f>D36*AD36</f>
        <v>0</v>
      </c>
      <c r="F36" s="4"/>
      <c r="G36" s="34">
        <f>F36*AD36</f>
        <v>0</v>
      </c>
      <c r="H36" s="4"/>
      <c r="I36" s="34">
        <f>H36*AD36</f>
        <v>0</v>
      </c>
      <c r="J36" s="4"/>
      <c r="K36" s="34">
        <f>J36*AD36</f>
        <v>0</v>
      </c>
      <c r="L36" s="4"/>
      <c r="M36" s="34">
        <f>L36*AD36</f>
        <v>0</v>
      </c>
      <c r="O36" s="34">
        <f>N36*AD36</f>
        <v>0</v>
      </c>
      <c r="Q36" s="34">
        <f>P36*AD36</f>
        <v>0</v>
      </c>
      <c r="AC36" s="34">
        <f>B36+D36+F36+H36+J36+L36+N36+P36</f>
        <v>0</v>
      </c>
      <c r="AD36" s="34">
        <v>0.07063000000000001</v>
      </c>
      <c r="AE36" s="62">
        <f>AC36*AD36</f>
        <v>0</v>
      </c>
    </row>
    <row r="37" spans="1:31" ht="14.25">
      <c r="A37" s="4"/>
      <c r="B37" s="4"/>
      <c r="C37" s="34">
        <f>B37*AD37</f>
        <v>0</v>
      </c>
      <c r="D37" s="4"/>
      <c r="E37" s="34">
        <f>D37*AD37</f>
        <v>0</v>
      </c>
      <c r="F37" s="4"/>
      <c r="G37" s="34">
        <f>F37*AD37</f>
        <v>0</v>
      </c>
      <c r="H37" s="4"/>
      <c r="I37" s="34">
        <f>H37*AD37</f>
        <v>0</v>
      </c>
      <c r="J37" s="4"/>
      <c r="K37" s="34">
        <f>J37*AD37</f>
        <v>0</v>
      </c>
      <c r="L37" s="4"/>
      <c r="M37" s="34">
        <f>L37*AD37</f>
        <v>0</v>
      </c>
      <c r="O37" s="34">
        <f>N37*AD37</f>
        <v>0</v>
      </c>
      <c r="Q37" s="34">
        <f>P37*AD37</f>
        <v>0</v>
      </c>
      <c r="AC37" s="34">
        <f>B37+D37+F37+H37+J37+L37+N37+P37</f>
        <v>0</v>
      </c>
      <c r="AD37" s="34">
        <v>0.07063000000000001</v>
      </c>
      <c r="AE37" s="62">
        <f>AC37*AD37</f>
        <v>0</v>
      </c>
    </row>
    <row r="38" spans="1:45" ht="14.25">
      <c r="A38" s="4"/>
      <c r="B38" s="4"/>
      <c r="C38" s="34">
        <f>B38*AD38</f>
        <v>0</v>
      </c>
      <c r="D38" s="4"/>
      <c r="E38" s="34">
        <f>D38*AD38</f>
        <v>0</v>
      </c>
      <c r="F38" s="4"/>
      <c r="G38" s="34">
        <f>F38*AD38</f>
        <v>0</v>
      </c>
      <c r="H38" s="4"/>
      <c r="I38" s="34">
        <f>H38*AD38</f>
        <v>0</v>
      </c>
      <c r="J38" s="4"/>
      <c r="K38" s="34">
        <f>J38*AD38</f>
        <v>0</v>
      </c>
      <c r="L38" s="4"/>
      <c r="M38" s="34">
        <f>L38*AD38</f>
        <v>0</v>
      </c>
      <c r="O38" s="34">
        <f>N38*AD38</f>
        <v>0</v>
      </c>
      <c r="Q38" s="34">
        <f>P38*AD38</f>
        <v>0</v>
      </c>
      <c r="AC38" s="34">
        <f>B38+D38+F38+H38+J38+L38+N38+P38</f>
        <v>0</v>
      </c>
      <c r="AD38" s="34">
        <f>(693.63/600000)</f>
        <v>0.00115605</v>
      </c>
      <c r="AE38" s="62">
        <f>AC38*AD38</f>
        <v>0</v>
      </c>
      <c r="AS38" s="59"/>
    </row>
    <row r="39" spans="1:31" ht="14.25">
      <c r="A39"/>
      <c r="B39" s="4"/>
      <c r="C39" s="34">
        <f>B39*AD39</f>
        <v>0</v>
      </c>
      <c r="D39" s="4"/>
      <c r="E39" s="34">
        <f>D39*AD39</f>
        <v>0</v>
      </c>
      <c r="F39" s="4"/>
      <c r="G39" s="34">
        <f>F39*AD39</f>
        <v>0</v>
      </c>
      <c r="H39" s="4"/>
      <c r="I39" s="34">
        <f>H39*AD39</f>
        <v>0</v>
      </c>
      <c r="J39" s="4"/>
      <c r="K39" s="34">
        <f>J39*AD39</f>
        <v>0</v>
      </c>
      <c r="L39" s="4"/>
      <c r="M39" s="34">
        <f>L39*AD39</f>
        <v>0</v>
      </c>
      <c r="O39" s="34">
        <f>N39*AD39</f>
        <v>0</v>
      </c>
      <c r="Q39" s="34">
        <f>P39*AD39</f>
        <v>0</v>
      </c>
      <c r="AC39" s="34">
        <f>B39+D39+F39+H39+J39+L39+N39+P39</f>
        <v>0</v>
      </c>
      <c r="AD39" s="34">
        <f>(693.63/600000)</f>
        <v>0.00115605</v>
      </c>
      <c r="AE39" s="62">
        <f>AC39*AD39</f>
        <v>0</v>
      </c>
    </row>
    <row r="40" spans="1:31" ht="14.25">
      <c r="A40"/>
      <c r="B40" s="4"/>
      <c r="C40" s="34">
        <f>B40*AD40</f>
        <v>0</v>
      </c>
      <c r="D40" s="4"/>
      <c r="E40" s="34">
        <f>D40*AD40</f>
        <v>0</v>
      </c>
      <c r="F40" s="4"/>
      <c r="G40" s="34">
        <f>F40*AD40</f>
        <v>0</v>
      </c>
      <c r="H40" s="4"/>
      <c r="I40" s="34">
        <f>H40*AD40</f>
        <v>0</v>
      </c>
      <c r="J40" s="4"/>
      <c r="K40" s="34">
        <f>J40*AD40</f>
        <v>0</v>
      </c>
      <c r="L40" s="4"/>
      <c r="M40" s="34">
        <f>L40*AD40</f>
        <v>0</v>
      </c>
      <c r="O40" s="34">
        <f>N40*AD40</f>
        <v>0</v>
      </c>
      <c r="Q40" s="34">
        <f>P40*AD40</f>
        <v>0</v>
      </c>
      <c r="AC40" s="34">
        <f>B40+D40+F40+H40+J40+L40+N40+P40</f>
        <v>0</v>
      </c>
      <c r="AD40" s="34">
        <f>(693.63/600000)</f>
        <v>0.00115605</v>
      </c>
      <c r="AE40" s="62">
        <f>AC40*AD40</f>
        <v>0</v>
      </c>
    </row>
    <row r="41" spans="1:31" ht="14.25">
      <c r="A41"/>
      <c r="B41" s="4"/>
      <c r="C41" s="34">
        <f>B41*AD41</f>
        <v>0</v>
      </c>
      <c r="D41" s="4"/>
      <c r="E41" s="34">
        <f>D41*AD41</f>
        <v>0</v>
      </c>
      <c r="F41" s="4"/>
      <c r="G41" s="34">
        <f>F41*AD41</f>
        <v>0</v>
      </c>
      <c r="H41" s="4"/>
      <c r="I41" s="34">
        <f>H41*AD41</f>
        <v>0</v>
      </c>
      <c r="J41" s="4"/>
      <c r="K41" s="34">
        <f>J41*AD41</f>
        <v>0</v>
      </c>
      <c r="L41" s="4"/>
      <c r="M41" s="34">
        <f>L41*AD41</f>
        <v>0</v>
      </c>
      <c r="O41" s="34">
        <f>N41*AD41</f>
        <v>0</v>
      </c>
      <c r="Q41" s="34">
        <f>P41*AD41</f>
        <v>0</v>
      </c>
      <c r="AC41" s="34">
        <f>B41+D41+F41+H41+J41+L41+N41+P41</f>
        <v>0</v>
      </c>
      <c r="AD41" s="34">
        <f>(693.63/600000)</f>
        <v>0.00115605</v>
      </c>
      <c r="AE41" s="62">
        <f>AC41*AD41</f>
        <v>0</v>
      </c>
    </row>
    <row r="42" spans="1:31" ht="14.25">
      <c r="A42"/>
      <c r="B42" s="4"/>
      <c r="C42" s="34">
        <f>B42*AD42</f>
        <v>0</v>
      </c>
      <c r="D42" s="4"/>
      <c r="E42" s="34">
        <f>D42*AD42</f>
        <v>0</v>
      </c>
      <c r="F42" s="4"/>
      <c r="G42" s="34">
        <f>F42*AD42</f>
        <v>0</v>
      </c>
      <c r="H42" s="4"/>
      <c r="I42" s="34">
        <f>H42*AD42</f>
        <v>0</v>
      </c>
      <c r="J42" s="4"/>
      <c r="K42" s="34">
        <f>J42*AD42</f>
        <v>0</v>
      </c>
      <c r="L42" s="4"/>
      <c r="M42" s="34">
        <f>L42*AD42</f>
        <v>0</v>
      </c>
      <c r="O42" s="34">
        <f>N42*AD42</f>
        <v>0</v>
      </c>
      <c r="Q42" s="34">
        <f>P42*AD42</f>
        <v>0</v>
      </c>
      <c r="AC42" s="34">
        <f>B42+D42+F42+H42+J42+L42+N42+P42</f>
        <v>0</v>
      </c>
      <c r="AD42" s="34">
        <f>(693.63/600000)</f>
        <v>0.00115605</v>
      </c>
      <c r="AE42" s="62">
        <f>AC42*AD42</f>
        <v>0</v>
      </c>
    </row>
    <row r="43" spans="1:31" ht="14.25">
      <c r="A43"/>
      <c r="B43" s="4"/>
      <c r="C43" s="34">
        <f>B43*AD43</f>
        <v>0</v>
      </c>
      <c r="D43" s="4"/>
      <c r="E43" s="34">
        <f>D43*AD43</f>
        <v>0</v>
      </c>
      <c r="F43" s="4"/>
      <c r="G43" s="34">
        <f>F43*AD43</f>
        <v>0</v>
      </c>
      <c r="H43" s="4"/>
      <c r="I43" s="34">
        <f>H43*AD43</f>
        <v>0</v>
      </c>
      <c r="K43" s="34">
        <f>J43*AD43</f>
        <v>0</v>
      </c>
      <c r="M43" s="34">
        <f>L43*AD43</f>
        <v>0</v>
      </c>
      <c r="O43" s="34">
        <f>N43*AD43</f>
        <v>0</v>
      </c>
      <c r="Q43" s="34">
        <f>P43*AD43</f>
        <v>0</v>
      </c>
      <c r="AC43" s="34">
        <f>B43+D43+F43+H43+J43+L43+N43+P43</f>
        <v>0</v>
      </c>
      <c r="AD43" s="34">
        <f>(693.63/600000)</f>
        <v>0.00115605</v>
      </c>
      <c r="AE43" s="62">
        <f>AC43*AD43</f>
        <v>0</v>
      </c>
    </row>
    <row r="44" spans="3:31" ht="14.25">
      <c r="C44" s="34">
        <f>B44*AD44</f>
        <v>0</v>
      </c>
      <c r="E44" s="34">
        <f>D44*AD44</f>
        <v>0</v>
      </c>
      <c r="G44" s="34">
        <f>F44*AD44</f>
        <v>0</v>
      </c>
      <c r="I44" s="34">
        <f>H44*AD44</f>
        <v>0</v>
      </c>
      <c r="K44" s="34">
        <f>J44*AD44</f>
        <v>0</v>
      </c>
      <c r="M44" s="34">
        <f>L44*AD44</f>
        <v>0</v>
      </c>
      <c r="O44" s="34">
        <f>N44*AD44</f>
        <v>0</v>
      </c>
      <c r="Q44" s="34">
        <f>P44*AD44</f>
        <v>0</v>
      </c>
      <c r="AC44" s="34">
        <f>B44+D44+F44+H44+J44+L44+N44+P44</f>
        <v>0</v>
      </c>
      <c r="AD44" s="34">
        <f>(693.63/600000)</f>
        <v>0.00115605</v>
      </c>
      <c r="AE44" s="62">
        <f>AC44*AD44</f>
        <v>0</v>
      </c>
    </row>
    <row r="45" spans="3:31" ht="12.75">
      <c r="C45" s="34">
        <f>B45*AD45</f>
        <v>0</v>
      </c>
      <c r="E45" s="34">
        <f>D45*AD45</f>
        <v>0</v>
      </c>
      <c r="G45" s="34">
        <f>F45*AD45</f>
        <v>0</v>
      </c>
      <c r="I45" s="34">
        <f>H45*AD45</f>
        <v>0</v>
      </c>
      <c r="K45" s="34">
        <f>J45*AD45</f>
        <v>0</v>
      </c>
      <c r="M45" s="34">
        <f>L45*AD45</f>
        <v>0</v>
      </c>
      <c r="O45" s="34">
        <f>N45*AD45</f>
        <v>0</v>
      </c>
      <c r="Q45" s="34">
        <f>P45*AD45</f>
        <v>0</v>
      </c>
      <c r="AC45" s="34">
        <f>B45+D45+F45+H45+J45+L45+N45+P45</f>
        <v>0</v>
      </c>
      <c r="AD45" s="34">
        <f>(693.63/600000)</f>
        <v>0.00115605</v>
      </c>
      <c r="AE45" s="62">
        <f>AC45*AD45</f>
        <v>0</v>
      </c>
    </row>
    <row r="46" spans="3:31" ht="12.75">
      <c r="C46" s="34">
        <f>B46*AD46</f>
        <v>0</v>
      </c>
      <c r="E46" s="34">
        <f>D46*AD46</f>
        <v>0</v>
      </c>
      <c r="G46" s="34">
        <f>F46*AD46</f>
        <v>0</v>
      </c>
      <c r="I46" s="34">
        <f>H46*AD46</f>
        <v>0</v>
      </c>
      <c r="K46" s="34">
        <f>J46*AD46</f>
        <v>0</v>
      </c>
      <c r="M46" s="34">
        <f>L46*AD46</f>
        <v>0</v>
      </c>
      <c r="O46" s="34">
        <f>N46*AD46</f>
        <v>0</v>
      </c>
      <c r="Q46" s="34">
        <f>P46*AD46</f>
        <v>0</v>
      </c>
      <c r="AC46" s="34">
        <f>B46+D46+F46+H46+J46+L46+N46+P46</f>
        <v>0</v>
      </c>
      <c r="AD46" s="34">
        <f>(693.63/600000)</f>
        <v>0.00115605</v>
      </c>
      <c r="AE46" s="62">
        <f>AC46*AD46</f>
        <v>0</v>
      </c>
    </row>
    <row r="47" spans="3:31" ht="12.75">
      <c r="C47" s="34">
        <f>B47*AD47</f>
        <v>0</v>
      </c>
      <c r="E47" s="34">
        <f>D47*AD47</f>
        <v>0</v>
      </c>
      <c r="G47" s="34">
        <f>F47*AD47</f>
        <v>0</v>
      </c>
      <c r="I47" s="34">
        <f>H47*AD47</f>
        <v>0</v>
      </c>
      <c r="K47" s="34">
        <f>J47*AD47</f>
        <v>0</v>
      </c>
      <c r="M47" s="34">
        <f>L47*AD47</f>
        <v>0</v>
      </c>
      <c r="O47" s="34">
        <f>N47*AD47</f>
        <v>0</v>
      </c>
      <c r="Q47" s="34">
        <f>P47*AD47</f>
        <v>0</v>
      </c>
      <c r="AC47" s="34">
        <f>B47+D47+F47+H47+J47+L47+N47+P47</f>
        <v>0</v>
      </c>
      <c r="AD47" s="34">
        <f>(693.63/600000)</f>
        <v>0.00115605</v>
      </c>
      <c r="AE47" s="40">
        <f>AC47*AD47</f>
        <v>0</v>
      </c>
    </row>
    <row r="48" spans="3:31" ht="12.75">
      <c r="C48" s="34">
        <f>B48*AD48</f>
        <v>0</v>
      </c>
      <c r="E48" s="34">
        <f>D48*AD48</f>
        <v>0</v>
      </c>
      <c r="G48" s="34">
        <f>F48*AD48</f>
        <v>0</v>
      </c>
      <c r="I48" s="34">
        <f>H48*AD48</f>
        <v>0</v>
      </c>
      <c r="K48" s="34">
        <f>J48*AD48</f>
        <v>0</v>
      </c>
      <c r="M48" s="34">
        <f>L48*AD48</f>
        <v>0</v>
      </c>
      <c r="O48" s="34">
        <f>N48*AD48</f>
        <v>0</v>
      </c>
      <c r="Q48" s="34">
        <f>P48*AD48</f>
        <v>0</v>
      </c>
      <c r="AC48" s="34">
        <f>B48+D48+F48+H48+J48+L48+N48+P48</f>
        <v>0</v>
      </c>
      <c r="AD48" s="34">
        <f>(693.63/600000)</f>
        <v>0.00115605</v>
      </c>
      <c r="AE48" s="40">
        <f>AC48*AD48</f>
        <v>0</v>
      </c>
    </row>
    <row r="49" spans="3:31" ht="12.75">
      <c r="C49" s="34">
        <f>B49*AD49</f>
        <v>0</v>
      </c>
      <c r="E49" s="34">
        <f>D49*AD49</f>
        <v>0</v>
      </c>
      <c r="G49" s="34">
        <f>F49*AD49</f>
        <v>0</v>
      </c>
      <c r="I49" s="34">
        <f>H49*AD49</f>
        <v>0</v>
      </c>
      <c r="K49" s="34">
        <f>J49*AD49</f>
        <v>0</v>
      </c>
      <c r="M49" s="34">
        <f>L49*AD49</f>
        <v>0</v>
      </c>
      <c r="O49" s="34">
        <f>N49*AD49</f>
        <v>0</v>
      </c>
      <c r="Q49" s="34">
        <f>P49*AD49</f>
        <v>0</v>
      </c>
      <c r="AC49" s="34">
        <f>B49+D49+F49+H49+J49+L49+N49</f>
        <v>0</v>
      </c>
      <c r="AD49" s="34">
        <v>0.0061</v>
      </c>
      <c r="AE49" s="40">
        <f>AC49*AD49</f>
        <v>0</v>
      </c>
    </row>
    <row r="50" spans="3:31" ht="12.75">
      <c r="C50" s="34">
        <f>B50*AD50</f>
        <v>0</v>
      </c>
      <c r="E50" s="34">
        <f>D50*AD50</f>
        <v>0</v>
      </c>
      <c r="G50" s="34">
        <f>F50*AD50</f>
        <v>0</v>
      </c>
      <c r="I50" s="34">
        <f>H50*AD50</f>
        <v>0</v>
      </c>
      <c r="K50" s="34">
        <f>J50*AD50</f>
        <v>0</v>
      </c>
      <c r="M50" s="34">
        <f>L50*AD50</f>
        <v>0</v>
      </c>
      <c r="O50" s="34">
        <f>N50*AD50</f>
        <v>0</v>
      </c>
      <c r="Q50" s="34">
        <f>P50*AD50</f>
        <v>0</v>
      </c>
      <c r="AC50" s="34">
        <f>B50+D50+F50+H50+J50+L50+N50</f>
        <v>0</v>
      </c>
      <c r="AD50" s="62">
        <f>539.17/3000000</f>
        <v>0.0001797233333333333</v>
      </c>
      <c r="AE50" s="40">
        <f>AC50*AD50</f>
        <v>0</v>
      </c>
    </row>
    <row r="51" spans="3:31" ht="12.75">
      <c r="C51" s="34">
        <f>B51*AD51</f>
        <v>0</v>
      </c>
      <c r="E51" s="34">
        <f>D51*AD51</f>
        <v>0</v>
      </c>
      <c r="G51" s="34">
        <f>F51*AD51</f>
        <v>0</v>
      </c>
      <c r="I51" s="34">
        <f>H51*AD51</f>
        <v>0</v>
      </c>
      <c r="K51" s="34">
        <f>J51*AD51</f>
        <v>0</v>
      </c>
      <c r="M51" s="34">
        <f>L51*AD51</f>
        <v>0</v>
      </c>
      <c r="O51" s="34">
        <f>N51*AD51</f>
        <v>0</v>
      </c>
      <c r="Q51" s="34">
        <f>P51*AD51</f>
        <v>0</v>
      </c>
      <c r="AC51" s="34">
        <f>B51+D51+F51+H51+J51+L51+N51</f>
        <v>0</v>
      </c>
      <c r="AE51" s="40">
        <f>AC51*AD51</f>
        <v>0</v>
      </c>
    </row>
    <row r="52" spans="3:31" ht="12.75">
      <c r="C52" s="34">
        <f>B52*AD52</f>
        <v>0</v>
      </c>
      <c r="E52" s="34">
        <f>D52*AD52</f>
        <v>0</v>
      </c>
      <c r="G52" s="34">
        <f>F52*AD52</f>
        <v>0</v>
      </c>
      <c r="I52" s="34">
        <f>H52*AD52</f>
        <v>0</v>
      </c>
      <c r="K52" s="34">
        <f>J52*AD52</f>
        <v>0</v>
      </c>
      <c r="M52" s="34">
        <f>L52*AD52</f>
        <v>0</v>
      </c>
      <c r="O52" s="34">
        <f>N52*AD52</f>
        <v>0</v>
      </c>
      <c r="Q52" s="34">
        <f>P52*AD52</f>
        <v>0</v>
      </c>
      <c r="AC52" s="34">
        <f>B52+D52+F52+H52+J52+L52+N52</f>
        <v>0</v>
      </c>
      <c r="AE52" s="40">
        <f>AC52*AD52</f>
        <v>0</v>
      </c>
    </row>
    <row r="53" spans="3:31" ht="12.75">
      <c r="C53" s="34">
        <f>B53*AD53</f>
        <v>0</v>
      </c>
      <c r="E53" s="34">
        <f>D53*AD53</f>
        <v>0</v>
      </c>
      <c r="G53" s="34">
        <f>F53*AD53</f>
        <v>0</v>
      </c>
      <c r="I53" s="34">
        <f>H53*AD53</f>
        <v>0</v>
      </c>
      <c r="K53" s="34">
        <f>J53*AD53</f>
        <v>0</v>
      </c>
      <c r="M53" s="34">
        <f>L53*AD53</f>
        <v>0</v>
      </c>
      <c r="O53" s="34">
        <f>N53*AD53</f>
        <v>0</v>
      </c>
      <c r="Q53" s="34">
        <f>P53*AD53</f>
        <v>0</v>
      </c>
      <c r="AC53" s="34">
        <f>B53+D53+F53+H53+J53+L53+N53</f>
        <v>0</v>
      </c>
      <c r="AE53" s="40">
        <f>AC53*AD53</f>
        <v>0</v>
      </c>
    </row>
    <row r="54" spans="3:31" ht="12.75">
      <c r="C54" s="34">
        <f>B54*AD54</f>
        <v>0</v>
      </c>
      <c r="E54" s="34">
        <f>D54*AD54</f>
        <v>0</v>
      </c>
      <c r="G54" s="34">
        <f>F54*AD54</f>
        <v>0</v>
      </c>
      <c r="I54" s="34">
        <f>H54*AD54</f>
        <v>0</v>
      </c>
      <c r="K54" s="34">
        <f>J54*AD54</f>
        <v>0</v>
      </c>
      <c r="M54" s="34">
        <f>L54*AD54</f>
        <v>0</v>
      </c>
      <c r="O54" s="34">
        <f>N54*AD54</f>
        <v>0</v>
      </c>
      <c r="Q54" s="34">
        <f>P54*AD54</f>
        <v>0</v>
      </c>
      <c r="AC54" s="34">
        <f>B54+D54+F54+H54+J54+L54+N54</f>
        <v>0</v>
      </c>
      <c r="AD54" s="34">
        <v>0.005925</v>
      </c>
      <c r="AE54" s="40">
        <f>AC54*AD54</f>
        <v>0</v>
      </c>
    </row>
    <row r="55" spans="3:31" ht="12.75">
      <c r="C55" s="34">
        <f>B55*AD55</f>
        <v>0</v>
      </c>
      <c r="E55" s="34">
        <f>D55*AD55</f>
        <v>0</v>
      </c>
      <c r="G55" s="34">
        <f>F55*AD55</f>
        <v>0</v>
      </c>
      <c r="I55" s="34">
        <f>H55*AD55</f>
        <v>0</v>
      </c>
      <c r="K55" s="34">
        <f>J55*AD55</f>
        <v>0</v>
      </c>
      <c r="M55" s="34">
        <f>L55*AD55</f>
        <v>0</v>
      </c>
      <c r="O55" s="34">
        <f>N55*AD55</f>
        <v>0</v>
      </c>
      <c r="Q55" s="34">
        <f>P55*AD55</f>
        <v>0</v>
      </c>
      <c r="AC55" s="34">
        <f>B55+D55+F55+H55+J55+L55+N55</f>
        <v>0</v>
      </c>
      <c r="AE55" s="40">
        <f>AC55*AD55</f>
        <v>0</v>
      </c>
    </row>
    <row r="56" spans="3:31" ht="12.75">
      <c r="C56" s="34">
        <f>B56*AD56</f>
        <v>0</v>
      </c>
      <c r="E56" s="34">
        <f>D56*AD56</f>
        <v>0</v>
      </c>
      <c r="G56" s="34">
        <f>F56*AD56</f>
        <v>0</v>
      </c>
      <c r="I56" s="34">
        <f>H56*AD56</f>
        <v>0</v>
      </c>
      <c r="K56" s="34">
        <f>J56*AD56</f>
        <v>0</v>
      </c>
      <c r="M56" s="34">
        <f>L56*AD56</f>
        <v>0</v>
      </c>
      <c r="O56" s="34">
        <f>N56*AD56</f>
        <v>0</v>
      </c>
      <c r="Q56" s="34">
        <f>P56*AD56</f>
        <v>0</v>
      </c>
      <c r="AC56" s="34">
        <f>B56+D56+F56+H56+J56+L56+N56</f>
        <v>0</v>
      </c>
      <c r="AE56" s="40">
        <f>AC56*AD56</f>
        <v>0</v>
      </c>
    </row>
    <row r="57" spans="3:31" ht="12.75">
      <c r="C57" s="34">
        <f>B57*AD57</f>
        <v>0</v>
      </c>
      <c r="E57" s="34">
        <f>D57*AD57</f>
        <v>0</v>
      </c>
      <c r="G57" s="34">
        <f>F57*AD57</f>
        <v>0</v>
      </c>
      <c r="I57" s="34">
        <f>H57*AD57</f>
        <v>0</v>
      </c>
      <c r="K57" s="34">
        <f>J57*AD57</f>
        <v>0</v>
      </c>
      <c r="M57" s="34">
        <f>L57*AD57</f>
        <v>0</v>
      </c>
      <c r="O57" s="34">
        <f>N57*AD57</f>
        <v>0</v>
      </c>
      <c r="Q57" s="34">
        <f>P57*AD57</f>
        <v>0</v>
      </c>
      <c r="AC57" s="34">
        <f>B57+D57+F57+H57+J57+L57+N57</f>
        <v>0</v>
      </c>
      <c r="AE57" s="40">
        <f>AC57*AD57</f>
        <v>0</v>
      </c>
    </row>
    <row r="58" spans="3:29" ht="12.75">
      <c r="C58" s="34">
        <f>B58*AD58</f>
        <v>0</v>
      </c>
      <c r="E58" s="34">
        <f>D58*AD58</f>
        <v>0</v>
      </c>
      <c r="G58" s="34">
        <f>F58*AD58</f>
        <v>0</v>
      </c>
      <c r="I58" s="34">
        <f>H58*AD58</f>
        <v>0</v>
      </c>
      <c r="K58" s="34">
        <f>J58*AD58</f>
        <v>0</v>
      </c>
      <c r="M58" s="34">
        <f>L58*AD58</f>
        <v>0</v>
      </c>
      <c r="O58" s="34">
        <f>N58*AD58</f>
        <v>0</v>
      </c>
      <c r="Q58" s="34">
        <f>P58*AD58</f>
        <v>0</v>
      </c>
      <c r="AC58" s="34">
        <f>B58+D58+F58+H58+J58+L58+N58</f>
        <v>0</v>
      </c>
    </row>
    <row r="59" spans="3:29" ht="12.75">
      <c r="C59" s="34">
        <f>B59*AD59</f>
        <v>0</v>
      </c>
      <c r="E59" s="34">
        <f>D59*AD59</f>
        <v>0</v>
      </c>
      <c r="G59" s="34">
        <f>F59*AD59</f>
        <v>0</v>
      </c>
      <c r="I59" s="34">
        <f>H59*AD59</f>
        <v>0</v>
      </c>
      <c r="K59" s="34">
        <f>J59*AD59</f>
        <v>0</v>
      </c>
      <c r="M59" s="34">
        <f>L59*AD59</f>
        <v>0</v>
      </c>
      <c r="O59" s="34">
        <f>N59*AD59</f>
        <v>0</v>
      </c>
      <c r="Q59" s="34">
        <f>P59*AD59</f>
        <v>0</v>
      </c>
      <c r="AC59" s="34">
        <f>B59+D59+F59+H59+J59+L59+N59</f>
        <v>0</v>
      </c>
    </row>
    <row r="60" spans="3:29" ht="12.75">
      <c r="C60" s="34">
        <f>B60*AD60</f>
        <v>0</v>
      </c>
      <c r="E60" s="34">
        <f>D60*AD60</f>
        <v>0</v>
      </c>
      <c r="G60" s="34">
        <f>F60*AD60</f>
        <v>0</v>
      </c>
      <c r="I60" s="34">
        <f>H60*AD60</f>
        <v>0</v>
      </c>
      <c r="K60" s="34">
        <f>J60*AD60</f>
        <v>0</v>
      </c>
      <c r="M60" s="34">
        <f>L60*AD60</f>
        <v>0</v>
      </c>
      <c r="O60" s="34">
        <f>N60*AD60</f>
        <v>0</v>
      </c>
      <c r="AC60" s="34">
        <f>B60+D60+F60+H60+J60+L60+N60</f>
        <v>0</v>
      </c>
    </row>
    <row r="61" spans="3:29" ht="12.75">
      <c r="C61" s="34">
        <f>B61*AD61</f>
        <v>0</v>
      </c>
      <c r="E61" s="34">
        <f>D61*AD61</f>
        <v>0</v>
      </c>
      <c r="G61" s="34">
        <f>F61*AD61</f>
        <v>0</v>
      </c>
      <c r="I61" s="34">
        <f>H61*AD61</f>
        <v>0</v>
      </c>
      <c r="K61" s="34">
        <f>J61*AD61</f>
        <v>0</v>
      </c>
      <c r="M61" s="34">
        <f>L61*AD61</f>
        <v>0</v>
      </c>
      <c r="O61" s="34">
        <f>N61*AD61</f>
        <v>0</v>
      </c>
      <c r="AC61" s="34">
        <f>B61+D61+F61+H61+J61+L61+N61</f>
        <v>0</v>
      </c>
    </row>
    <row r="62" spans="3:29" ht="12.75">
      <c r="C62" s="34">
        <f>B62*AD62</f>
        <v>0</v>
      </c>
      <c r="E62" s="34">
        <f>D62*AD62</f>
        <v>0</v>
      </c>
      <c r="G62" s="34">
        <f>F62*AD62</f>
        <v>0</v>
      </c>
      <c r="I62" s="34">
        <f>H62*AD62</f>
        <v>0</v>
      </c>
      <c r="K62" s="34">
        <f>J62*AD62</f>
        <v>0</v>
      </c>
      <c r="M62" s="34">
        <f>L62*AD62</f>
        <v>0</v>
      </c>
      <c r="AC62" s="34">
        <f>B62+D62+F62+H62+J62+L62+N62</f>
        <v>0</v>
      </c>
    </row>
    <row r="63" spans="3:29" ht="12.75">
      <c r="C63" s="34">
        <f>B63*AD63</f>
        <v>0</v>
      </c>
      <c r="E63" s="34">
        <f>D63*AD63</f>
        <v>0</v>
      </c>
      <c r="G63" s="34">
        <f>F63*AD63</f>
        <v>0</v>
      </c>
      <c r="I63" s="34">
        <f>H63*AD63</f>
        <v>0</v>
      </c>
      <c r="K63" s="34">
        <f>J63*AD63</f>
        <v>0</v>
      </c>
      <c r="M63" s="34">
        <f>L63*AD63</f>
        <v>0</v>
      </c>
      <c r="AC63" s="34">
        <f>B63+D63+F63+H63+J63+L63+N63</f>
        <v>0</v>
      </c>
    </row>
    <row r="64" spans="3:29" ht="12.75">
      <c r="C64" s="34">
        <f>B64*AD64</f>
        <v>0</v>
      </c>
      <c r="E64" s="34">
        <f>D64*AD64</f>
        <v>0</v>
      </c>
      <c r="G64" s="34">
        <f>F64*AD64</f>
        <v>0</v>
      </c>
      <c r="I64" s="34">
        <f>H64*AD64</f>
        <v>0</v>
      </c>
      <c r="K64" s="34">
        <f>J64*AD64</f>
        <v>0</v>
      </c>
      <c r="M64" s="34">
        <f>L64*AD64</f>
        <v>0</v>
      </c>
      <c r="AC64" s="34">
        <f>B64+D64+F64+H64+J64+L64+N64</f>
        <v>0</v>
      </c>
    </row>
    <row r="65" spans="3:29" ht="12.75">
      <c r="C65" s="34">
        <f>B65*AD65</f>
        <v>0</v>
      </c>
      <c r="E65" s="34">
        <f>D65*AD65</f>
        <v>0</v>
      </c>
      <c r="G65" s="34">
        <f>F65*AD65</f>
        <v>0</v>
      </c>
      <c r="I65" s="34">
        <f>H65*AD65</f>
        <v>0</v>
      </c>
      <c r="K65" s="34">
        <f>J65*AD65</f>
        <v>0</v>
      </c>
      <c r="M65" s="34">
        <f>L65*AD65</f>
        <v>0</v>
      </c>
      <c r="AC65" s="34">
        <f>B65+D65+F65+H65+J65+L65+N65</f>
        <v>0</v>
      </c>
    </row>
    <row r="66" spans="3:29" ht="12.75">
      <c r="C66" s="34">
        <f>B66*AD66</f>
        <v>0</v>
      </c>
      <c r="E66" s="34">
        <f>D66*AD66</f>
        <v>0</v>
      </c>
      <c r="G66" s="34">
        <f>F66*AD66</f>
        <v>0</v>
      </c>
      <c r="I66" s="34">
        <f>H66*AD66</f>
        <v>0</v>
      </c>
      <c r="K66" s="34">
        <f>J66*AD66</f>
        <v>0</v>
      </c>
      <c r="M66" s="34">
        <f>L66*AD66</f>
        <v>0</v>
      </c>
      <c r="AC66" s="34">
        <f>B66+D66+F66+H66+J66+L66+N66</f>
        <v>0</v>
      </c>
    </row>
    <row r="67" spans="3:29" ht="12.75">
      <c r="C67" s="34">
        <f>B67*AD67</f>
        <v>0</v>
      </c>
      <c r="E67" s="34">
        <f>D67*AD67</f>
        <v>0</v>
      </c>
      <c r="G67" s="34">
        <f>F67*AD67</f>
        <v>0</v>
      </c>
      <c r="I67" s="34">
        <f>H67*AD67</f>
        <v>0</v>
      </c>
      <c r="K67" s="34">
        <f>J67*AD67</f>
        <v>0</v>
      </c>
      <c r="M67" s="34">
        <f>L67*AD67</f>
        <v>0</v>
      </c>
      <c r="AC67" s="34">
        <f>B67+D67+F67+H67+J67+L67+N67</f>
        <v>0</v>
      </c>
    </row>
    <row r="68" spans="3:29" ht="12.75">
      <c r="C68" s="34">
        <f>B68*AD68</f>
        <v>0</v>
      </c>
      <c r="E68" s="34">
        <f>D68*AD68</f>
        <v>0</v>
      </c>
      <c r="G68" s="34">
        <f>F68*AD68</f>
        <v>0</v>
      </c>
      <c r="I68" s="34">
        <f>H68*AD68</f>
        <v>0</v>
      </c>
      <c r="K68" s="34">
        <f>J68*AD68</f>
        <v>0</v>
      </c>
      <c r="M68" s="34">
        <f>L68*AD68</f>
        <v>0</v>
      </c>
      <c r="AC68" s="34">
        <f>B68+D68+F68+H68+J68+L68+N68</f>
        <v>0</v>
      </c>
    </row>
    <row r="69" spans="3:29" ht="12.75">
      <c r="C69" s="34">
        <f>B69*AD69</f>
        <v>0</v>
      </c>
      <c r="E69" s="34">
        <f>D69*AD69</f>
        <v>0</v>
      </c>
      <c r="G69" s="34">
        <f>F69*AD69</f>
        <v>0</v>
      </c>
      <c r="I69" s="34">
        <f>H69*AD69</f>
        <v>0</v>
      </c>
      <c r="K69" s="34">
        <f>J69*AD69</f>
        <v>0</v>
      </c>
      <c r="M69" s="34">
        <f>L69*AD69</f>
        <v>0</v>
      </c>
      <c r="AC69" s="34">
        <f>B69+D69+F69+H69+J69+L69+N69</f>
        <v>0</v>
      </c>
    </row>
    <row r="70" spans="3:29" ht="12.75">
      <c r="C70" s="34">
        <f>B70*AD70</f>
        <v>0</v>
      </c>
      <c r="E70" s="34">
        <f>D70*AD70</f>
        <v>0</v>
      </c>
      <c r="G70" s="34">
        <f>F70*AD70</f>
        <v>0</v>
      </c>
      <c r="I70" s="34">
        <f>H70*AD70</f>
        <v>0</v>
      </c>
      <c r="K70" s="34">
        <f>J70*AD70</f>
        <v>0</v>
      </c>
      <c r="M70" s="34">
        <f>L70*AD70</f>
        <v>0</v>
      </c>
      <c r="AC70" s="34">
        <f>B70+D70+F70+H70+J70+L70+N70</f>
        <v>0</v>
      </c>
    </row>
    <row r="71" spans="3:29" ht="12.75">
      <c r="C71" s="34">
        <f>B71*AD71</f>
        <v>0</v>
      </c>
      <c r="E71" s="34">
        <f>D71*AD71</f>
        <v>0</v>
      </c>
      <c r="G71" s="34">
        <f>F71*AD71</f>
        <v>0</v>
      </c>
      <c r="I71" s="34">
        <f>H71*AD71</f>
        <v>0</v>
      </c>
      <c r="K71" s="34">
        <f>J71*AD71</f>
        <v>0</v>
      </c>
      <c r="M71" s="34">
        <f>L71*AD71</f>
        <v>0</v>
      </c>
      <c r="AC71" s="34">
        <f>B71+D71+F71+H71+J71+L71+N71</f>
        <v>0</v>
      </c>
    </row>
    <row r="72" spans="3:29" ht="12.75">
      <c r="C72" s="34">
        <f>B72*AD72</f>
        <v>0</v>
      </c>
      <c r="E72" s="34">
        <f>D72*AD72</f>
        <v>0</v>
      </c>
      <c r="G72" s="34">
        <f>F72*AD72</f>
        <v>0</v>
      </c>
      <c r="I72" s="34">
        <f>H72*AD72</f>
        <v>0</v>
      </c>
      <c r="K72" s="34">
        <f>J72*AD72</f>
        <v>0</v>
      </c>
      <c r="M72" s="34">
        <f>L72*AD72</f>
        <v>0</v>
      </c>
      <c r="AC72" s="34">
        <f>B72+D72+F72+H72+J72+L72+N72</f>
        <v>0</v>
      </c>
    </row>
    <row r="73" spans="3:29" ht="12.75">
      <c r="C73" s="34">
        <f>B73*AD73</f>
        <v>0</v>
      </c>
      <c r="E73" s="34">
        <f>D73*AD73</f>
        <v>0</v>
      </c>
      <c r="G73" s="34">
        <f>F73*AD73</f>
        <v>0</v>
      </c>
      <c r="I73" s="34">
        <f>H73*AD73</f>
        <v>0</v>
      </c>
      <c r="M73" s="34">
        <f>L73*AD73</f>
        <v>0</v>
      </c>
      <c r="AC73" s="34">
        <f>B73+D73+F73+H73+J73+L73+N73</f>
        <v>0</v>
      </c>
    </row>
    <row r="74" spans="3:29" ht="12.75">
      <c r="C74" s="34">
        <f>B74*AD74</f>
        <v>0</v>
      </c>
      <c r="E74" s="34">
        <f>D74*AD74</f>
        <v>0</v>
      </c>
      <c r="G74" s="34">
        <f>F74*AD74</f>
        <v>0</v>
      </c>
      <c r="I74" s="34">
        <f>H74*AD74</f>
        <v>0</v>
      </c>
      <c r="M74" s="34">
        <f>L74*AD74</f>
        <v>0</v>
      </c>
      <c r="AC74" s="34">
        <f>B74+D74+F74+H74+J74+L74+N74</f>
        <v>0</v>
      </c>
    </row>
    <row r="75" spans="3:29" ht="12.75">
      <c r="C75" s="34">
        <f>B75*AD75</f>
        <v>0</v>
      </c>
      <c r="E75" s="34">
        <f>D75*AD75</f>
        <v>0</v>
      </c>
      <c r="G75" s="34">
        <f>F75*AD75</f>
        <v>0</v>
      </c>
      <c r="I75" s="34">
        <f>H75*AD75</f>
        <v>0</v>
      </c>
      <c r="M75" s="34">
        <f>L75*AD75</f>
        <v>0</v>
      </c>
      <c r="AC75" s="34">
        <f>B75+D75+F75+H75+J75+L75+N75</f>
        <v>0</v>
      </c>
    </row>
    <row r="76" spans="3:29" ht="12.75">
      <c r="C76" s="34">
        <f>B76*AD76</f>
        <v>0</v>
      </c>
      <c r="E76" s="34">
        <f>D76*AD76</f>
        <v>0</v>
      </c>
      <c r="G76" s="34">
        <f>F76*AD76</f>
        <v>0</v>
      </c>
      <c r="I76" s="34">
        <f>H76*AD76</f>
        <v>0</v>
      </c>
      <c r="M76" s="34">
        <f>L76*AD76</f>
        <v>0</v>
      </c>
      <c r="AC76" s="34">
        <f>B76+D76+F76+H76+J76+L76+N76</f>
        <v>0</v>
      </c>
    </row>
    <row r="77" spans="3:29" ht="12.75">
      <c r="C77" s="34">
        <f>B77*AD77</f>
        <v>0</v>
      </c>
      <c r="E77" s="34">
        <f>D77*AD77</f>
        <v>0</v>
      </c>
      <c r="G77" s="34">
        <f>F77*AD77</f>
        <v>0</v>
      </c>
      <c r="I77" s="34">
        <f>H77*AD77</f>
        <v>0</v>
      </c>
      <c r="M77" s="34">
        <f>L77*AD77</f>
        <v>0</v>
      </c>
      <c r="AC77" s="34">
        <f>B77+D77+F77+H77+J77+L77+N77</f>
        <v>0</v>
      </c>
    </row>
    <row r="78" spans="3:29" ht="12.75">
      <c r="C78" s="34">
        <f>B78*AD78</f>
        <v>0</v>
      </c>
      <c r="E78" s="34">
        <f>D78*AD78</f>
        <v>0</v>
      </c>
      <c r="G78" s="34">
        <f>F78*AD78</f>
        <v>0</v>
      </c>
      <c r="I78" s="34">
        <f>H78*AD78</f>
        <v>0</v>
      </c>
      <c r="AC78" s="34">
        <f>B78+D78+F78+H78+J78+L78+N78</f>
        <v>0</v>
      </c>
    </row>
    <row r="79" spans="3:29" ht="12.75">
      <c r="C79" s="34">
        <f>B79*AD79</f>
        <v>0</v>
      </c>
      <c r="E79" s="34">
        <f>D79*AD79</f>
        <v>0</v>
      </c>
      <c r="G79" s="34">
        <f>F79*AD79</f>
        <v>0</v>
      </c>
      <c r="I79" s="34">
        <f>H79*AD79</f>
        <v>0</v>
      </c>
      <c r="AC79" s="34">
        <f>B79+D79+F79+H79+J79+L79+N79</f>
        <v>0</v>
      </c>
    </row>
    <row r="80" spans="3:29" ht="12.75">
      <c r="C80" s="34">
        <f>B80*AD80</f>
        <v>0</v>
      </c>
      <c r="E80" s="34">
        <f>D80*AD80</f>
        <v>0</v>
      </c>
      <c r="G80" s="34">
        <f>F80*AD80</f>
        <v>0</v>
      </c>
      <c r="I80" s="34">
        <f>H80*AD80</f>
        <v>0</v>
      </c>
      <c r="AC80" s="34">
        <f>B80+D80+F80+H80+J80+L80+N80</f>
        <v>0</v>
      </c>
    </row>
    <row r="81" spans="3:29" ht="12.75">
      <c r="C81" s="34">
        <f>B81*AD81</f>
        <v>0</v>
      </c>
      <c r="E81" s="34">
        <f>D81*AD81</f>
        <v>0</v>
      </c>
      <c r="G81" s="34">
        <f>F81*AD81</f>
        <v>0</v>
      </c>
      <c r="I81" s="34">
        <f>H81*AD81</f>
        <v>0</v>
      </c>
      <c r="AC81" s="34">
        <f>B81+D81+F81+H81+J81+L81+N81</f>
        <v>0</v>
      </c>
    </row>
    <row r="82" spans="3:29" ht="12.75">
      <c r="C82" s="34">
        <f>B82*AD82</f>
        <v>0</v>
      </c>
      <c r="E82" s="34">
        <f>D82*AD82</f>
        <v>0</v>
      </c>
      <c r="G82" s="34">
        <f>F82*AD82</f>
        <v>0</v>
      </c>
      <c r="I82" s="34">
        <f>H82*AD82</f>
        <v>0</v>
      </c>
      <c r="AC82" s="34">
        <f>B82+D82+F82+H82+J82+L82+N82</f>
        <v>0</v>
      </c>
    </row>
    <row r="83" spans="3:29" ht="12.75">
      <c r="C83" s="34">
        <f>B83*AD83</f>
        <v>0</v>
      </c>
      <c r="E83" s="34">
        <f>D83*AD83</f>
        <v>0</v>
      </c>
      <c r="AC83" s="34">
        <f>B83+D83+F83+H83+J83+L83+N83</f>
        <v>0</v>
      </c>
    </row>
    <row r="84" spans="3:29" ht="12.75">
      <c r="C84" s="34">
        <f>B84*AD84</f>
        <v>0</v>
      </c>
      <c r="E84" s="34">
        <f>D84*AD84</f>
        <v>0</v>
      </c>
      <c r="AC84" s="34">
        <f>B84+D84+F84+H84+J84+L84+N84</f>
        <v>0</v>
      </c>
    </row>
    <row r="85" spans="3:29" ht="12.75">
      <c r="C85" s="34">
        <f>B85*AD85</f>
        <v>0</v>
      </c>
      <c r="E85" s="34">
        <f>D85*AD85</f>
        <v>0</v>
      </c>
      <c r="AC85" s="34">
        <f>B85+D85+F85+H85+J85+L85+N85</f>
        <v>0</v>
      </c>
    </row>
    <row r="86" spans="3:29" ht="12.75">
      <c r="C86" s="34">
        <f>B86*AD86</f>
        <v>0</v>
      </c>
      <c r="E86" s="34">
        <f>D86*AD86</f>
        <v>0</v>
      </c>
      <c r="AC86" s="34">
        <f>B86+D86+F86+H86+J86+L86+N86</f>
        <v>0</v>
      </c>
    </row>
    <row r="87" spans="3:29" ht="12.75">
      <c r="C87" s="34">
        <f>B87*AD87</f>
        <v>0</v>
      </c>
      <c r="E87" s="34">
        <f>D87*AD87</f>
        <v>0</v>
      </c>
      <c r="AC87" s="34">
        <f>B87+D87+F87+H87+J87+L87+N87</f>
        <v>0</v>
      </c>
    </row>
    <row r="88" spans="3:29" ht="12.75">
      <c r="C88" s="34">
        <f>B88*AD88</f>
        <v>0</v>
      </c>
      <c r="E88" s="34">
        <f>D88*AD88</f>
        <v>0</v>
      </c>
      <c r="AC88" s="34">
        <f>B88+D88+F88+H88+J88+L88+N88</f>
        <v>0</v>
      </c>
    </row>
    <row r="89" spans="3:29" ht="12.75">
      <c r="C89" s="34">
        <f>B89*AD89</f>
        <v>0</v>
      </c>
      <c r="E89" s="34">
        <f>D89*AD89</f>
        <v>0</v>
      </c>
      <c r="AC89" s="34">
        <f>B89+D89+F89+H89+J89+L89+N89</f>
        <v>0</v>
      </c>
    </row>
    <row r="90" spans="3:29" ht="12.75">
      <c r="C90" s="34">
        <f>B90*AD90</f>
        <v>0</v>
      </c>
      <c r="E90" s="34">
        <f>D90*AD90</f>
        <v>0</v>
      </c>
      <c r="AC90" s="34">
        <f>B90+D90+F90+H90+J90+L90+N90</f>
        <v>0</v>
      </c>
    </row>
    <row r="91" spans="3:29" ht="12.75">
      <c r="C91" s="34">
        <f>B91*AD91</f>
        <v>0</v>
      </c>
      <c r="E91" s="34">
        <f>D91*AD91</f>
        <v>0</v>
      </c>
      <c r="AC91" s="34">
        <f>B91+D91+F91+H91+J91+L91+N91</f>
        <v>0</v>
      </c>
    </row>
    <row r="92" spans="3:29" ht="12.75">
      <c r="C92" s="34">
        <f>B92*AD92</f>
        <v>0</v>
      </c>
      <c r="E92" s="34">
        <f>D92*AD92</f>
        <v>0</v>
      </c>
      <c r="AC92" s="34">
        <f>B92+D92+F92+H92+J92+L92+N92</f>
        <v>0</v>
      </c>
    </row>
    <row r="93" spans="3:29" ht="12.75">
      <c r="C93" s="34">
        <f>B93*AD93</f>
        <v>0</v>
      </c>
      <c r="E93" s="34">
        <f>D93*AD93</f>
        <v>0</v>
      </c>
      <c r="AC93" s="34">
        <f>B93+D93+F93+H93+J93+L93+N93</f>
        <v>0</v>
      </c>
    </row>
    <row r="94" spans="3:29" ht="12.75">
      <c r="C94" s="34">
        <f>B94*AD94</f>
        <v>0</v>
      </c>
      <c r="E94" s="34">
        <f>D94*AD94</f>
        <v>0</v>
      </c>
      <c r="AC94" s="34">
        <f>B94+D94+F94+H94+J94+L94+N94</f>
        <v>0</v>
      </c>
    </row>
    <row r="95" spans="3:29" ht="12.75">
      <c r="C95" s="34">
        <f>B95*AD95</f>
        <v>0</v>
      </c>
      <c r="E95" s="34">
        <f>D95*AD95</f>
        <v>0</v>
      </c>
      <c r="AC95" s="34">
        <f>B95+D95+F95+H95+J95+L95+N95</f>
        <v>0</v>
      </c>
    </row>
    <row r="96" spans="3:29" ht="12.75">
      <c r="C96" s="34">
        <f>B96*AD96</f>
        <v>0</v>
      </c>
      <c r="E96" s="34">
        <f>D96*AD96</f>
        <v>0</v>
      </c>
      <c r="AC96" s="34">
        <f>B96+D96+F96+H96+J96+L96+N96</f>
        <v>0</v>
      </c>
    </row>
    <row r="97" spans="3:29" ht="12.75">
      <c r="C97" s="34">
        <f>B97*AD97</f>
        <v>0</v>
      </c>
      <c r="AC97" s="34">
        <f>B97+D97+F97+H97+J97+L97+N97</f>
        <v>0</v>
      </c>
    </row>
    <row r="98" spans="3:29" ht="12.75">
      <c r="C98" s="34">
        <f>B98*AD98</f>
        <v>0</v>
      </c>
      <c r="AC98" s="34">
        <f>B98+D98+F98+H98+J98+L98+N98</f>
        <v>0</v>
      </c>
    </row>
    <row r="99" spans="3:29" ht="12.75">
      <c r="C99" s="34">
        <f>B99*AD99</f>
        <v>0</v>
      </c>
      <c r="AC99" s="34">
        <f>B99+D99+F99+H99+J99+L99+N99</f>
        <v>0</v>
      </c>
    </row>
    <row r="100" spans="3:29" ht="12.75">
      <c r="C100" s="34">
        <f>B100*AD100</f>
        <v>0</v>
      </c>
      <c r="AC100" s="34">
        <f>B100+D100+F100+H100+J100+L100+N100</f>
        <v>0</v>
      </c>
    </row>
    <row r="101" spans="3:29" ht="12.75">
      <c r="C101" s="34">
        <f>B101*AD101</f>
        <v>0</v>
      </c>
      <c r="AC101" s="34">
        <f>B101+D101+F101+H101+J101+L101+N101</f>
        <v>0</v>
      </c>
    </row>
    <row r="102" spans="3:29" ht="12.75">
      <c r="C102" s="34">
        <f>B102*AD102</f>
        <v>0</v>
      </c>
      <c r="AC102" s="34">
        <f>B102+D102+F102+H102+J102+L102+N102</f>
        <v>0</v>
      </c>
    </row>
    <row r="103" spans="3:29" ht="12.75">
      <c r="C103" s="34">
        <f>B103*AD103</f>
        <v>0</v>
      </c>
      <c r="AC103" s="34">
        <f>B103+D103+F103+H103+J103+L103+N103</f>
        <v>0</v>
      </c>
    </row>
    <row r="104" spans="3:29" ht="12.75">
      <c r="C104" s="34">
        <f>B104*AD104</f>
        <v>0</v>
      </c>
      <c r="AC104" s="34">
        <f>B104+D104+F104+H104+J104+L104+N104</f>
        <v>0</v>
      </c>
    </row>
    <row r="105" spans="3:29" ht="12.75">
      <c r="C105" s="34">
        <f>B105*AD105</f>
        <v>0</v>
      </c>
      <c r="AC105" s="34">
        <f>B105+D105+F105+H105+J105+L105+N105</f>
        <v>0</v>
      </c>
    </row>
    <row r="106" spans="3:29" ht="12.75">
      <c r="C106" s="34">
        <f>B106*AD106</f>
        <v>0</v>
      </c>
      <c r="AC106" s="34">
        <f>B106+D106+F106+H106+J106+L106+N106</f>
        <v>0</v>
      </c>
    </row>
    <row r="107" spans="3:29" ht="12.75">
      <c r="C107" s="34">
        <f>B107*AD107</f>
        <v>0</v>
      </c>
      <c r="AC107" s="34">
        <f>B107+D107+F107+H107+J107+L107+N107</f>
        <v>0</v>
      </c>
    </row>
    <row r="108" spans="3:29" ht="12.75">
      <c r="C108" s="34">
        <f>B108*AD108</f>
        <v>0</v>
      </c>
      <c r="AC108" s="34">
        <f>B108+D108+F108+H108+J108+L108+N108</f>
        <v>0</v>
      </c>
    </row>
    <row r="109" spans="3:29" ht="12.75">
      <c r="C109" s="34">
        <f>B109*AD109</f>
        <v>0</v>
      </c>
      <c r="AC109" s="34">
        <f>B109+D109+F109+H109+J109+L109+N109</f>
        <v>0</v>
      </c>
    </row>
    <row r="110" spans="3:29" ht="12.75">
      <c r="C110" s="34">
        <f>B110*AD110</f>
        <v>0</v>
      </c>
      <c r="AC110" s="34">
        <f>B110+D110+F110+H110+J110+L110+N110</f>
        <v>0</v>
      </c>
    </row>
    <row r="111" spans="3:29" ht="12.75">
      <c r="C111" s="34">
        <f>B111*AD111</f>
        <v>0</v>
      </c>
      <c r="AC111" s="34">
        <f>B111+D111+F111+H111+J111+L111+N111</f>
        <v>0</v>
      </c>
    </row>
    <row r="112" spans="3:29" ht="12.75">
      <c r="C112" s="34">
        <f>B112*AD112</f>
        <v>0</v>
      </c>
      <c r="AC112" s="34">
        <f>B112+D112+F112+H112+J112+L112+N112</f>
        <v>0</v>
      </c>
    </row>
    <row r="113" spans="3:29" ht="12.75">
      <c r="C113" s="34">
        <f>B113*AD113</f>
        <v>0</v>
      </c>
      <c r="AC113" s="34">
        <f>B113+D113+F113+H113+J113+L113+N113</f>
        <v>0</v>
      </c>
    </row>
    <row r="114" spans="3:29" ht="12.75">
      <c r="C114" s="34">
        <f>B114*AD114</f>
        <v>0</v>
      </c>
      <c r="AC114" s="34">
        <f>B114+D114+F114+H114+J114+L114+N114</f>
        <v>0</v>
      </c>
    </row>
    <row r="115" spans="3:29" ht="12.75">
      <c r="C115" s="34">
        <f>B115*AD115</f>
        <v>0</v>
      </c>
      <c r="AC115" s="34">
        <f>B115+D115+F115+H115+J115+L115+N115</f>
        <v>0</v>
      </c>
    </row>
    <row r="116" spans="3:29" ht="12.75">
      <c r="C116" s="34">
        <f>B116*AD116</f>
        <v>0</v>
      </c>
      <c r="AC116" s="34">
        <f>B116+D116+F116+H116+J116+L116+N116</f>
        <v>0</v>
      </c>
    </row>
    <row r="117" spans="3:29" ht="12.75">
      <c r="C117" s="34">
        <f>B117*AD117</f>
        <v>0</v>
      </c>
      <c r="AC117" s="34">
        <f>B117+D117+F117+H117+J117+L117+N117</f>
        <v>0</v>
      </c>
    </row>
    <row r="118" spans="3:29" ht="12.75">
      <c r="C118" s="34">
        <f>B118*AD118</f>
        <v>0</v>
      </c>
      <c r="AC118" s="34">
        <f>B118+D118+F118+H118+J118+L118+N118</f>
        <v>0</v>
      </c>
    </row>
    <row r="119" spans="3:29" ht="12.75">
      <c r="C119" s="34">
        <f>B119*AD119</f>
        <v>0</v>
      </c>
      <c r="AC119" s="34">
        <f>B119+D119+F119+H119+J119+L119+N119</f>
        <v>0</v>
      </c>
    </row>
    <row r="120" spans="3:29" ht="12.75">
      <c r="C120" s="34">
        <f>B120*AD120</f>
        <v>0</v>
      </c>
      <c r="AC120" s="34">
        <f>B120+D120+F120+H120+J120+L120+N120</f>
        <v>0</v>
      </c>
    </row>
    <row r="121" spans="3:29" ht="12.75">
      <c r="C121" s="34">
        <f>B121*AD121</f>
        <v>0</v>
      </c>
      <c r="AC121" s="34">
        <f>B121+D121+F121+H121+J121+L121+N121</f>
        <v>0</v>
      </c>
    </row>
    <row r="122" spans="3:29" ht="12.75">
      <c r="C122" s="34">
        <f>B122*AD122</f>
        <v>0</v>
      </c>
      <c r="AC122" s="34">
        <f>B122+D122+F122+H122+J122+L122+N122</f>
        <v>0</v>
      </c>
    </row>
    <row r="123" spans="3:29" ht="12.75">
      <c r="C123" s="34">
        <f>B123*AD123</f>
        <v>0</v>
      </c>
      <c r="AC123" s="34">
        <f>B123+D123+F123+H123+J123+L123+N123</f>
        <v>0</v>
      </c>
    </row>
    <row r="124" spans="3:29" ht="12.75">
      <c r="C124" s="34">
        <f>B124*AD124</f>
        <v>0</v>
      </c>
      <c r="AC124" s="34">
        <f>B124+D124+F124+H124+J124+L124+N124</f>
        <v>0</v>
      </c>
    </row>
    <row r="125" spans="3:29" ht="12.75">
      <c r="C125" s="34">
        <f>B125*AD125</f>
        <v>0</v>
      </c>
      <c r="AC125" s="34">
        <f>B125+D125+F125+H125+J125+L125+N125</f>
        <v>0</v>
      </c>
    </row>
    <row r="126" spans="3:29" ht="12.75">
      <c r="C126" s="34">
        <f>B126*AD126</f>
        <v>0</v>
      </c>
      <c r="AC126" s="34">
        <f>B126+D126+F126+H126+J126+L126+N126</f>
        <v>0</v>
      </c>
    </row>
    <row r="127" spans="3:29" ht="12.75">
      <c r="C127" s="34">
        <f>B127*AD127</f>
        <v>0</v>
      </c>
      <c r="AC127" s="34">
        <f>B127+D127+F127+H127+J127+L127+N127</f>
        <v>0</v>
      </c>
    </row>
    <row r="128" spans="3:29" ht="12.75">
      <c r="C128" s="34">
        <f>B128*AD128</f>
        <v>0</v>
      </c>
      <c r="AC128" s="34">
        <f>B128+D128+F128+H128+J128+L128+N128</f>
        <v>0</v>
      </c>
    </row>
    <row r="129" spans="3:29" ht="12.75">
      <c r="C129" s="34">
        <f>B129*AD129</f>
        <v>0</v>
      </c>
      <c r="AC129" s="34">
        <f>B129+D129+F129+H129+J129+L129+N129</f>
        <v>0</v>
      </c>
    </row>
    <row r="130" spans="3:29" ht="12.75">
      <c r="C130" s="34">
        <f>B130*AD130</f>
        <v>0</v>
      </c>
      <c r="AC130" s="34">
        <f>B130+D130+F130+H130+J130+L130+N130</f>
        <v>0</v>
      </c>
    </row>
    <row r="131" spans="3:29" ht="12.75">
      <c r="C131" s="34">
        <f>B131*AD131</f>
        <v>0</v>
      </c>
      <c r="AC131" s="34">
        <f>B131+D131+F131+H131+J131+L131+N131</f>
        <v>0</v>
      </c>
    </row>
    <row r="132" spans="3:29" ht="12.75">
      <c r="C132" s="34">
        <f>B132*AD132</f>
        <v>0</v>
      </c>
      <c r="AC132" s="34">
        <f>B132+D132+F132+H132+J132+L132+N132</f>
        <v>0</v>
      </c>
    </row>
    <row r="133" ht="12.75">
      <c r="AC133" s="34">
        <f>B133+D133+F133+H133+J133+L133+N133</f>
        <v>0</v>
      </c>
    </row>
    <row r="134" ht="12.75">
      <c r="AC134" s="34">
        <f>B134+D134+F134+H134+J134+L134+N134</f>
        <v>0</v>
      </c>
    </row>
    <row r="135" ht="12.75">
      <c r="AC135" s="34">
        <f>B135+D135+F135+H135+J135+L135+N135</f>
        <v>0</v>
      </c>
    </row>
  </sheetData>
  <sheetProtection selectLockedCells="1" selectUnlockedCells="1"/>
  <printOptions/>
  <pageMargins left="0" right="0" top="0.1388888888888889" bottom="0.1388888888888889" header="0" footer="0"/>
  <pageSetup horizontalDpi="300" verticalDpi="300" orientation="portrait" paperSize="9"/>
  <headerFooter alignWithMargins="0">
    <oddHeader>&amp;C&amp;10&amp;A</oddHeader>
    <oddFooter>&amp;C&amp;10Page &amp;P</oddFooter>
  </headerFooter>
  <legacyDrawing r:id="rId2"/>
</worksheet>
</file>

<file path=xl/worksheets/sheet7.xml><?xml version="1.0" encoding="utf-8"?>
<worksheet xmlns="http://schemas.openxmlformats.org/spreadsheetml/2006/main" xmlns:r="http://schemas.openxmlformats.org/officeDocument/2006/relationships">
  <dimension ref="A1:BC135"/>
  <sheetViews>
    <sheetView zoomScale="95" zoomScaleNormal="95" workbookViewId="0" topLeftCell="Y1">
      <selection activeCell="AB8" sqref="AB8"/>
    </sheetView>
  </sheetViews>
  <sheetFormatPr defaultColWidth="11.00390625" defaultRowHeight="14.25"/>
  <cols>
    <col min="1" max="1" width="13.125" style="34" customWidth="1"/>
    <col min="2" max="2" width="9.00390625" style="34" customWidth="1"/>
    <col min="3" max="3" width="11.25390625" style="34" customWidth="1"/>
    <col min="4" max="4" width="13.125" style="34" customWidth="1"/>
    <col min="5" max="5" width="9.875" style="34" customWidth="1"/>
    <col min="6" max="6" width="11.00390625" style="34" customWidth="1"/>
    <col min="7" max="8" width="8.125" style="34" customWidth="1"/>
    <col min="9" max="9" width="10.125" style="34" customWidth="1"/>
    <col min="10" max="10" width="9.125" style="34" customWidth="1"/>
    <col min="11" max="11" width="11.00390625" style="34" customWidth="1"/>
    <col min="12" max="12" width="12.25390625" style="34" customWidth="1"/>
    <col min="13" max="13" width="12.875" style="34" customWidth="1"/>
    <col min="14" max="18" width="7.75390625" style="34" customWidth="1"/>
    <col min="19" max="19" width="15.25390625" style="34" customWidth="1"/>
    <col min="20" max="20" width="5.00390625" style="34" customWidth="1"/>
    <col min="21" max="21" width="10.625" style="34" customWidth="1"/>
    <col min="22" max="22" width="6.875" style="34" customWidth="1"/>
    <col min="23" max="23" width="3.25390625" style="34" customWidth="1"/>
    <col min="24" max="24" width="8.375" style="34" customWidth="1"/>
    <col min="25" max="26" width="6.50390625" style="34" customWidth="1"/>
    <col min="27" max="27" width="7.00390625" style="34" customWidth="1"/>
    <col min="28" max="28" width="29.875" style="34" customWidth="1"/>
    <col min="29" max="29" width="15.25390625" style="34" customWidth="1"/>
    <col min="30" max="30" width="8.125" style="34" customWidth="1"/>
    <col min="31" max="31" width="9.00390625" style="40" customWidth="1"/>
    <col min="32" max="32" width="1.4921875" style="34" customWidth="1"/>
    <col min="33" max="33" width="2.75390625" style="34" customWidth="1"/>
    <col min="34" max="34" width="1.875" style="34" customWidth="1"/>
    <col min="35" max="35" width="16.50390625" style="34" customWidth="1"/>
    <col min="36" max="36" width="8.25390625" style="34" customWidth="1"/>
    <col min="37" max="37" width="1.4921875" style="34" customWidth="1"/>
    <col min="38" max="38" width="16.875" style="34" customWidth="1"/>
    <col min="39" max="39" width="14.25390625" style="34" customWidth="1"/>
    <col min="40" max="40" width="2.00390625" style="34" customWidth="1"/>
    <col min="41" max="41" width="22.125" style="34" customWidth="1"/>
    <col min="42" max="42" width="10.625" style="34" customWidth="1"/>
    <col min="43" max="43" width="2.375" style="34" customWidth="1"/>
    <col min="44" max="44" width="15.125" style="34" customWidth="1"/>
    <col min="45" max="45" width="10.625" style="34" customWidth="1"/>
    <col min="46" max="46" width="2.625" style="34" customWidth="1"/>
    <col min="47" max="47" width="14.625" style="34" customWidth="1"/>
    <col min="48" max="48" width="7.375" style="34" customWidth="1"/>
    <col min="49" max="49" width="10.625" style="34" customWidth="1"/>
    <col min="50" max="50" width="11.875" style="34" customWidth="1"/>
    <col min="51" max="51" width="13.875" style="34" customWidth="1"/>
    <col min="52" max="53" width="10.625" style="34" customWidth="1"/>
    <col min="54" max="54" width="13.50390625" style="34" customWidth="1"/>
    <col min="55" max="16384" width="10.625" style="34" customWidth="1"/>
  </cols>
  <sheetData>
    <row r="1" spans="1:33" ht="14.25">
      <c r="A1" s="59" t="s">
        <v>119</v>
      </c>
      <c r="B1" s="34" t="s">
        <v>120</v>
      </c>
      <c r="C1" s="34" t="s">
        <v>121</v>
      </c>
      <c r="D1" s="34" t="s">
        <v>122</v>
      </c>
      <c r="E1" s="34" t="s">
        <v>123</v>
      </c>
      <c r="F1" s="34" t="s">
        <v>124</v>
      </c>
      <c r="G1" s="34" t="s">
        <v>125</v>
      </c>
      <c r="H1" s="34" t="s">
        <v>126</v>
      </c>
      <c r="I1" s="34" t="s">
        <v>127</v>
      </c>
      <c r="J1" s="34" t="s">
        <v>128</v>
      </c>
      <c r="K1" s="34" t="s">
        <v>129</v>
      </c>
      <c r="L1" s="34" t="s">
        <v>130</v>
      </c>
      <c r="M1" s="34" t="s">
        <v>131</v>
      </c>
      <c r="N1" s="34" t="s">
        <v>63</v>
      </c>
      <c r="O1" s="34" t="s">
        <v>132</v>
      </c>
      <c r="P1" s="34" t="s">
        <v>62</v>
      </c>
      <c r="Q1" s="34" t="s">
        <v>133</v>
      </c>
      <c r="R1" s="34" t="s">
        <v>134</v>
      </c>
      <c r="S1" s="34" t="s">
        <v>135</v>
      </c>
      <c r="T1" s="34" t="s">
        <v>136</v>
      </c>
      <c r="U1" s="34" t="s">
        <v>137</v>
      </c>
      <c r="V1" s="34" t="s">
        <v>138</v>
      </c>
      <c r="W1" s="34" t="s">
        <v>139</v>
      </c>
      <c r="X1" s="34" t="s">
        <v>140</v>
      </c>
      <c r="Y1" s="34" t="s">
        <v>141</v>
      </c>
      <c r="Z1" s="34" t="s">
        <v>142</v>
      </c>
      <c r="AA1" s="34" t="s">
        <v>143</v>
      </c>
      <c r="AC1" s="34" t="s">
        <v>144</v>
      </c>
      <c r="AD1" s="34" t="s">
        <v>145</v>
      </c>
      <c r="AE1" s="60" t="s">
        <v>146</v>
      </c>
      <c r="AG1" s="34" t="s">
        <v>147</v>
      </c>
    </row>
    <row r="2" spans="1:55" ht="14.25">
      <c r="A2" s="61">
        <v>43586</v>
      </c>
      <c r="B2" s="4">
        <v>3</v>
      </c>
      <c r="C2" s="34">
        <f>B2*AD2</f>
        <v>1.8709799999999999</v>
      </c>
      <c r="D2" s="4">
        <v>32</v>
      </c>
      <c r="E2" s="34">
        <f>D2*AD2</f>
        <v>19.95712</v>
      </c>
      <c r="F2" s="4">
        <f>19*2</f>
        <v>38</v>
      </c>
      <c r="G2" s="34">
        <f>F2*AD2</f>
        <v>23.69908</v>
      </c>
      <c r="H2" s="4"/>
      <c r="I2" s="34">
        <f>H2*AD2</f>
        <v>0</v>
      </c>
      <c r="J2" s="4"/>
      <c r="K2" s="34">
        <f>J2*AD2</f>
        <v>0</v>
      </c>
      <c r="L2" s="4">
        <v>66</v>
      </c>
      <c r="M2" s="34">
        <f>L2*AD2</f>
        <v>41.16156</v>
      </c>
      <c r="O2" s="34">
        <f>N2*AD2</f>
        <v>0</v>
      </c>
      <c r="Q2" s="34">
        <f>P2*AD2</f>
        <v>0</v>
      </c>
      <c r="R2" s="4"/>
      <c r="S2" s="4"/>
      <c r="T2" s="4"/>
      <c r="U2" s="4"/>
      <c r="V2" s="4"/>
      <c r="W2" s="4"/>
      <c r="X2" s="4"/>
      <c r="Y2" s="4" t="s">
        <v>148</v>
      </c>
      <c r="Z2" s="4"/>
      <c r="AA2" s="4"/>
      <c r="AB2" s="4" t="s">
        <v>235</v>
      </c>
      <c r="AC2" s="34">
        <f>B2+D2+F2+H2+J2+L2+N2+P2</f>
        <v>139</v>
      </c>
      <c r="AD2" s="62">
        <f>623.66/1000</f>
        <v>0.62366</v>
      </c>
      <c r="AE2" s="62">
        <f>AC2*AD2</f>
        <v>86.68874</v>
      </c>
      <c r="AG2" s="34">
        <v>27</v>
      </c>
      <c r="AI2" s="34" t="s">
        <v>150</v>
      </c>
      <c r="AJ2" s="60">
        <f>SUM($AE$2:$AE$994)</f>
        <v>616.5502759999999</v>
      </c>
      <c r="AL2" s="34" t="s">
        <v>151</v>
      </c>
      <c r="AM2" s="63">
        <f>$AJ$2/$AJ$5</f>
        <v>102.75837933333332</v>
      </c>
      <c r="AO2" s="34" t="s">
        <v>152</v>
      </c>
      <c r="AP2" s="34">
        <f>COUNTBLANK(L2:L40)-COUNTBLANK(A2:A40)</f>
        <v>0</v>
      </c>
      <c r="AQ2" s="64"/>
      <c r="AR2" s="64"/>
      <c r="AS2" s="64"/>
      <c r="AT2" s="64"/>
      <c r="AU2" s="64"/>
      <c r="AV2" s="64"/>
      <c r="AW2" s="64"/>
      <c r="AX2" s="64"/>
      <c r="AY2" s="64"/>
      <c r="AZ2" s="64"/>
      <c r="BB2" s="41"/>
      <c r="BC2" s="41"/>
    </row>
    <row r="3" spans="1:55" ht="14.25">
      <c r="A3" s="2">
        <v>43587</v>
      </c>
      <c r="B3" s="4">
        <f>6*2+2*6+1.5*2</f>
        <v>27</v>
      </c>
      <c r="C3" s="34">
        <f>B3*AD3</f>
        <v>16.83882</v>
      </c>
      <c r="D3" s="4">
        <f>65</f>
        <v>65</v>
      </c>
      <c r="E3" s="34">
        <f>D3*AD3</f>
        <v>40.5379</v>
      </c>
      <c r="F3" s="4">
        <v>26</v>
      </c>
      <c r="G3" s="34">
        <f>F3*AD3</f>
        <v>16.21516</v>
      </c>
      <c r="H3" s="4"/>
      <c r="I3" s="34">
        <f>H3*AD3</f>
        <v>0</v>
      </c>
      <c r="J3" s="4"/>
      <c r="K3" s="34">
        <f>J3*AD3</f>
        <v>0</v>
      </c>
      <c r="L3" s="4">
        <v>113</v>
      </c>
      <c r="M3" s="34">
        <f>L3*AD3</f>
        <v>70.47358</v>
      </c>
      <c r="O3" s="34">
        <f>N3*AD3</f>
        <v>0</v>
      </c>
      <c r="Q3" s="34">
        <f>P3*AD3</f>
        <v>0</v>
      </c>
      <c r="R3" s="4"/>
      <c r="S3" s="4"/>
      <c r="T3" s="4"/>
      <c r="U3" s="4"/>
      <c r="V3" s="4"/>
      <c r="W3" s="4"/>
      <c r="X3" s="4"/>
      <c r="Y3" s="4" t="s">
        <v>148</v>
      </c>
      <c r="Z3" s="4"/>
      <c r="AA3" s="4"/>
      <c r="AB3" s="4" t="s">
        <v>236</v>
      </c>
      <c r="AC3" s="34">
        <f>B3+D3+F3+H3+J3+L3+N3+P3</f>
        <v>231</v>
      </c>
      <c r="AD3" s="62">
        <f>623.66/1000</f>
        <v>0.62366</v>
      </c>
      <c r="AE3" s="62">
        <f>AC3*AD3</f>
        <v>144.06546</v>
      </c>
      <c r="AG3" s="34">
        <v>27</v>
      </c>
      <c r="AI3" s="65"/>
      <c r="AL3" s="65"/>
      <c r="AM3" s="63"/>
      <c r="AO3" s="34" t="s">
        <v>156</v>
      </c>
      <c r="AP3" s="34">
        <f>COUNT(L2:L36)</f>
        <v>6</v>
      </c>
      <c r="AR3" s="64"/>
      <c r="AS3" s="64"/>
      <c r="AT3" s="64"/>
      <c r="AU3" s="64"/>
      <c r="AV3" s="64"/>
      <c r="AW3" s="64"/>
      <c r="AX3" s="64"/>
      <c r="AY3" s="64"/>
      <c r="AZ3" s="64"/>
      <c r="BB3" s="41"/>
      <c r="BC3" s="41"/>
    </row>
    <row r="4" spans="1:55" ht="14.25">
      <c r="A4" s="2">
        <v>43588</v>
      </c>
      <c r="B4" s="4"/>
      <c r="C4" s="34">
        <f>B4*AD4</f>
        <v>0</v>
      </c>
      <c r="D4" s="4"/>
      <c r="E4" s="34">
        <f>D4*AD4</f>
        <v>0</v>
      </c>
      <c r="F4" s="4"/>
      <c r="G4" s="34">
        <f>F4*AD4</f>
        <v>0</v>
      </c>
      <c r="H4" s="4"/>
      <c r="I4" s="34">
        <f>H4*AD4</f>
        <v>0</v>
      </c>
      <c r="J4" s="4"/>
      <c r="K4" s="34">
        <f>J4*AD4</f>
        <v>0</v>
      </c>
      <c r="L4" s="4">
        <v>113</v>
      </c>
      <c r="M4" s="34">
        <f>L4*AD4</f>
        <v>70.47358</v>
      </c>
      <c r="O4" s="34">
        <f>N4*AD4</f>
        <v>0</v>
      </c>
      <c r="Q4" s="34">
        <f>P4*AD4</f>
        <v>0</v>
      </c>
      <c r="R4" s="4"/>
      <c r="S4" s="4"/>
      <c r="T4" s="4"/>
      <c r="U4" s="4"/>
      <c r="V4" s="4"/>
      <c r="W4" s="4"/>
      <c r="X4" s="4"/>
      <c r="Y4" s="4" t="s">
        <v>148</v>
      </c>
      <c r="Z4" s="4"/>
      <c r="AA4" s="4"/>
      <c r="AB4" s="4" t="s">
        <v>237</v>
      </c>
      <c r="AC4" s="34">
        <f>B4+D4+F4+H4+J4+L4+N4+P4</f>
        <v>113</v>
      </c>
      <c r="AD4" s="62">
        <f>623.66/1000</f>
        <v>0.62366</v>
      </c>
      <c r="AE4" s="62">
        <f>AC4*AD4</f>
        <v>70.47358</v>
      </c>
      <c r="AG4" s="34">
        <v>27</v>
      </c>
      <c r="AO4" s="34" t="s">
        <v>160</v>
      </c>
      <c r="AP4" s="34">
        <f>COUNTA(W2:W49)</f>
        <v>0</v>
      </c>
      <c r="AR4" s="64"/>
      <c r="AS4" s="64"/>
      <c r="AT4" s="64"/>
      <c r="AU4" s="64"/>
      <c r="AV4" s="64"/>
      <c r="AW4" s="64"/>
      <c r="AX4" s="64"/>
      <c r="AY4" s="64"/>
      <c r="AZ4" s="64"/>
      <c r="BB4" s="41"/>
      <c r="BC4" s="41"/>
    </row>
    <row r="5" spans="1:42" ht="14.25">
      <c r="A5" s="2">
        <v>43589</v>
      </c>
      <c r="B5" s="4">
        <f>2*4</f>
        <v>8</v>
      </c>
      <c r="C5" s="34">
        <f>B5*AD5</f>
        <v>4.98928</v>
      </c>
      <c r="D5" s="4">
        <f>50</f>
        <v>50</v>
      </c>
      <c r="E5" s="34">
        <f>D5*AD5</f>
        <v>31.183</v>
      </c>
      <c r="F5" s="4">
        <v>26</v>
      </c>
      <c r="G5" s="34">
        <f>F5*AD5</f>
        <v>16.21516</v>
      </c>
      <c r="H5" s="4"/>
      <c r="I5" s="34">
        <f>H5*AD5</f>
        <v>0</v>
      </c>
      <c r="J5" s="4"/>
      <c r="K5" s="34">
        <f>J5*AD5</f>
        <v>0</v>
      </c>
      <c r="L5" s="4">
        <v>113</v>
      </c>
      <c r="M5" s="34">
        <f>L5*AD5</f>
        <v>70.47358</v>
      </c>
      <c r="O5" s="34">
        <f>N5*AD5</f>
        <v>0</v>
      </c>
      <c r="Q5" s="34">
        <f>P5*AD5</f>
        <v>0</v>
      </c>
      <c r="R5" s="4"/>
      <c r="S5" s="4"/>
      <c r="T5" s="4"/>
      <c r="U5" s="4"/>
      <c r="V5" s="4"/>
      <c r="W5" s="4"/>
      <c r="X5" s="4"/>
      <c r="Y5" s="4" t="s">
        <v>148</v>
      </c>
      <c r="Z5" s="4"/>
      <c r="AA5" s="4"/>
      <c r="AB5" s="4" t="s">
        <v>237</v>
      </c>
      <c r="AC5" s="34">
        <f>B5+D5+F5+H5+J5+L5+N5+P5</f>
        <v>197</v>
      </c>
      <c r="AD5" s="62">
        <f>623.66/1000</f>
        <v>0.62366</v>
      </c>
      <c r="AE5" s="62">
        <f>AC5*AD5</f>
        <v>122.86102</v>
      </c>
      <c r="AG5" s="34">
        <v>27</v>
      </c>
      <c r="AI5" s="34" t="s">
        <v>163</v>
      </c>
      <c r="AJ5" s="34">
        <f>COUNTA(A2:A349)</f>
        <v>6</v>
      </c>
      <c r="AO5" s="34" t="s">
        <v>164</v>
      </c>
      <c r="AP5" s="34">
        <f>COUNTA(R2:R49)</f>
        <v>0</v>
      </c>
    </row>
    <row r="6" spans="1:42" ht="14.25">
      <c r="A6" s="2">
        <v>43590</v>
      </c>
      <c r="B6" s="4"/>
      <c r="C6" s="34">
        <f>B6*AD6</f>
        <v>0</v>
      </c>
      <c r="D6" s="4">
        <v>6</v>
      </c>
      <c r="E6" s="34">
        <f>D6*AD6</f>
        <v>3.7419599999999997</v>
      </c>
      <c r="F6" s="4"/>
      <c r="G6" s="34">
        <f>F6*AD6</f>
        <v>0</v>
      </c>
      <c r="H6" s="4"/>
      <c r="I6" s="34">
        <f>H6*AD6</f>
        <v>0</v>
      </c>
      <c r="J6" s="4"/>
      <c r="K6" s="34">
        <f>J6*AD6</f>
        <v>0</v>
      </c>
      <c r="L6" s="4">
        <v>113</v>
      </c>
      <c r="M6" s="34">
        <f>L6*AD6</f>
        <v>70.47358</v>
      </c>
      <c r="O6" s="34">
        <f>N6*AD6</f>
        <v>0</v>
      </c>
      <c r="Q6" s="34">
        <f>P6*AD6</f>
        <v>0</v>
      </c>
      <c r="R6" s="4"/>
      <c r="S6" s="4"/>
      <c r="T6" s="4"/>
      <c r="U6" s="4"/>
      <c r="V6" s="4"/>
      <c r="W6" s="4"/>
      <c r="X6" s="4"/>
      <c r="Y6" s="4" t="s">
        <v>148</v>
      </c>
      <c r="Z6" s="4"/>
      <c r="AA6" s="4"/>
      <c r="AB6" s="4" t="s">
        <v>237</v>
      </c>
      <c r="AC6" s="34">
        <f>B6+D6+F6+H6+J6+L6+N6+P6</f>
        <v>119</v>
      </c>
      <c r="AD6" s="62">
        <f>623.66/1000</f>
        <v>0.62366</v>
      </c>
      <c r="AE6" s="62">
        <f>AC6*AD6</f>
        <v>74.21554</v>
      </c>
      <c r="AG6" s="34">
        <v>27</v>
      </c>
      <c r="AI6" s="65"/>
      <c r="AO6" s="34" t="s">
        <v>165</v>
      </c>
      <c r="AP6" s="34">
        <f>COUNTA(T2:T49)</f>
        <v>0</v>
      </c>
    </row>
    <row r="7" spans="1:42" ht="14.25">
      <c r="A7" s="2">
        <v>43591</v>
      </c>
      <c r="B7" s="4">
        <f>4+12+12</f>
        <v>28</v>
      </c>
      <c r="C7" s="34">
        <f>B7*AD7</f>
        <v>17.46248</v>
      </c>
      <c r="D7" s="4">
        <v>54.6</v>
      </c>
      <c r="E7" s="34">
        <f>D7*AD7</f>
        <v>34.051836</v>
      </c>
      <c r="F7" s="4">
        <v>24</v>
      </c>
      <c r="G7" s="34">
        <f>F7*AD7</f>
        <v>14.967839999999999</v>
      </c>
      <c r="H7" s="4"/>
      <c r="I7" s="34">
        <f>H7*AD7</f>
        <v>0</v>
      </c>
      <c r="J7" s="4"/>
      <c r="K7" s="34">
        <f>J7*AD7</f>
        <v>0</v>
      </c>
      <c r="L7" s="4">
        <v>83</v>
      </c>
      <c r="M7" s="34">
        <f>L7*AD7</f>
        <v>51.76378</v>
      </c>
      <c r="O7" s="34">
        <f>N7*AD7</f>
        <v>0</v>
      </c>
      <c r="Q7" s="34">
        <f>P7*AD7</f>
        <v>0</v>
      </c>
      <c r="R7" s="4"/>
      <c r="S7" s="4"/>
      <c r="T7" s="4"/>
      <c r="U7" s="4"/>
      <c r="V7" s="4"/>
      <c r="W7" s="4"/>
      <c r="X7" s="4"/>
      <c r="Y7" s="4" t="s">
        <v>148</v>
      </c>
      <c r="Z7" s="4"/>
      <c r="AA7" s="4"/>
      <c r="AB7" s="4" t="s">
        <v>238</v>
      </c>
      <c r="AC7" s="34">
        <f>B7+D7+F7+H7+J7+L7+N7+P7</f>
        <v>189.6</v>
      </c>
      <c r="AD7" s="62">
        <f>623.66/1000</f>
        <v>0.62366</v>
      </c>
      <c r="AE7" s="62">
        <f>AC7*AD7</f>
        <v>118.245936</v>
      </c>
      <c r="AG7" s="34">
        <v>27</v>
      </c>
      <c r="AL7" s="34" t="s">
        <v>166</v>
      </c>
      <c r="AO7" s="34" t="s">
        <v>137</v>
      </c>
      <c r="AP7" s="34">
        <f>COUNTA(U2:U49)</f>
        <v>0</v>
      </c>
    </row>
    <row r="8" spans="1:42" ht="12.75">
      <c r="A8" s="2"/>
      <c r="B8" s="4"/>
      <c r="C8" s="34">
        <f>B8*AD8</f>
        <v>0</v>
      </c>
      <c r="D8" s="4"/>
      <c r="E8" s="34">
        <f>D8*AD8</f>
        <v>0</v>
      </c>
      <c r="F8" s="4"/>
      <c r="G8" s="34">
        <f>F8*AD8</f>
        <v>0</v>
      </c>
      <c r="H8" s="4"/>
      <c r="I8" s="34">
        <f>H8*AD8</f>
        <v>0</v>
      </c>
      <c r="J8" s="4"/>
      <c r="K8" s="34">
        <f>J8*AD8</f>
        <v>0</v>
      </c>
      <c r="L8" s="4"/>
      <c r="M8" s="34">
        <f>L8*AD8</f>
        <v>0</v>
      </c>
      <c r="O8" s="34">
        <f>N8*AD8</f>
        <v>0</v>
      </c>
      <c r="Q8" s="34">
        <f>P8*AD8</f>
        <v>0</v>
      </c>
      <c r="R8" s="4"/>
      <c r="S8" s="4"/>
      <c r="T8" s="4"/>
      <c r="U8" s="4"/>
      <c r="V8" s="4"/>
      <c r="W8" s="4"/>
      <c r="X8" s="4"/>
      <c r="Y8" s="4"/>
      <c r="Z8" s="4"/>
      <c r="AA8" s="4"/>
      <c r="AB8" s="4"/>
      <c r="AC8" s="34">
        <f>B8+D8+F8+H8+J8+L8+N8+P8</f>
        <v>0</v>
      </c>
      <c r="AD8" s="62">
        <f>623.66/1000</f>
        <v>0.62366</v>
      </c>
      <c r="AE8" s="62">
        <f>AC8*AD8</f>
        <v>0</v>
      </c>
      <c r="AG8" s="34">
        <v>27</v>
      </c>
      <c r="AI8" s="34" t="s">
        <v>168</v>
      </c>
      <c r="AJ8" s="60">
        <f>SUM(M2:M994)</f>
        <v>374.81966</v>
      </c>
      <c r="AL8" s="34" t="s">
        <v>130</v>
      </c>
      <c r="AM8" s="60">
        <f>AJ8/$AJ$5</f>
        <v>62.46994333333333</v>
      </c>
      <c r="AO8" s="34" t="s">
        <v>169</v>
      </c>
      <c r="AP8" s="34">
        <f>COUNTA(S2:S49)</f>
        <v>0</v>
      </c>
    </row>
    <row r="9" spans="1:42" ht="12.75">
      <c r="A9" s="2"/>
      <c r="B9" s="4"/>
      <c r="C9" s="34">
        <f>B9*AD9</f>
        <v>0</v>
      </c>
      <c r="D9" s="4"/>
      <c r="E9" s="34">
        <f>D9*AD9</f>
        <v>0</v>
      </c>
      <c r="F9" s="4"/>
      <c r="G9" s="34">
        <f>F9*AD9</f>
        <v>0</v>
      </c>
      <c r="H9" s="4"/>
      <c r="I9" s="34">
        <f>H9*AD9</f>
        <v>0</v>
      </c>
      <c r="J9" s="4"/>
      <c r="K9" s="34">
        <f>J9*AD9</f>
        <v>0</v>
      </c>
      <c r="L9" s="4"/>
      <c r="M9" s="34">
        <f>L9*AD9</f>
        <v>0</v>
      </c>
      <c r="O9" s="34">
        <f>N9*AD9</f>
        <v>0</v>
      </c>
      <c r="Q9" s="34">
        <f>P9*AD9</f>
        <v>0</v>
      </c>
      <c r="R9" s="4"/>
      <c r="S9" s="4"/>
      <c r="T9" s="4"/>
      <c r="U9" s="4"/>
      <c r="V9" s="4"/>
      <c r="W9" s="4"/>
      <c r="X9" s="4"/>
      <c r="Y9" s="4"/>
      <c r="Z9" s="4"/>
      <c r="AA9" s="4"/>
      <c r="AB9" s="4"/>
      <c r="AC9" s="34">
        <f>B9+D9+F9+H9+J9+L9+N9+P9</f>
        <v>0</v>
      </c>
      <c r="AD9" s="62">
        <f>623.66/1000</f>
        <v>0.62366</v>
      </c>
      <c r="AE9" s="62">
        <f>AC9*AD9</f>
        <v>0</v>
      </c>
      <c r="AG9" s="34">
        <v>27</v>
      </c>
      <c r="AI9" s="34" t="s">
        <v>171</v>
      </c>
      <c r="AJ9" s="60">
        <f>SUM(C2:C994)</f>
        <v>41.16156</v>
      </c>
      <c r="AL9" s="34" t="s">
        <v>120</v>
      </c>
      <c r="AM9" s="60">
        <f>AJ9/$AJ$5</f>
        <v>6.86026</v>
      </c>
      <c r="AO9" s="34" t="s">
        <v>138</v>
      </c>
      <c r="AP9" s="34">
        <f>COUNTA(V2:V50)</f>
        <v>0</v>
      </c>
    </row>
    <row r="10" spans="1:42" ht="12.75">
      <c r="A10" s="2"/>
      <c r="B10" s="4"/>
      <c r="C10" s="34">
        <f>B10*AD10</f>
        <v>0</v>
      </c>
      <c r="D10" s="4"/>
      <c r="E10" s="34">
        <f>D10*AD10</f>
        <v>0</v>
      </c>
      <c r="F10" s="4"/>
      <c r="G10" s="34">
        <f>F10*AD10</f>
        <v>0</v>
      </c>
      <c r="H10" s="4"/>
      <c r="I10" s="34">
        <f>H10*AD10</f>
        <v>0</v>
      </c>
      <c r="J10" s="4"/>
      <c r="K10" s="34">
        <f>J10*AD10</f>
        <v>0</v>
      </c>
      <c r="L10" s="4"/>
      <c r="M10" s="34">
        <f>L10*AD10</f>
        <v>0</v>
      </c>
      <c r="O10" s="34">
        <f>N10*AD10</f>
        <v>0</v>
      </c>
      <c r="Q10" s="34">
        <f>P10*AD10</f>
        <v>0</v>
      </c>
      <c r="R10" s="4"/>
      <c r="S10" s="4"/>
      <c r="T10" s="4"/>
      <c r="U10" s="4"/>
      <c r="V10" s="4"/>
      <c r="W10" s="4"/>
      <c r="X10" s="4"/>
      <c r="Y10" s="4"/>
      <c r="Z10" s="4"/>
      <c r="AA10" s="4"/>
      <c r="AB10" s="4"/>
      <c r="AC10" s="34">
        <f>B10+D10+F10+H10+J10+L10+N10+P10</f>
        <v>0</v>
      </c>
      <c r="AD10" s="62">
        <f>623.66/1000</f>
        <v>0.62366</v>
      </c>
      <c r="AE10" s="62">
        <f>AC10*AD10</f>
        <v>0</v>
      </c>
      <c r="AG10" s="34">
        <v>27</v>
      </c>
      <c r="AI10" s="34" t="s">
        <v>172</v>
      </c>
      <c r="AJ10" s="60">
        <f>SUM(E2:E994)</f>
        <v>129.47181600000002</v>
      </c>
      <c r="AL10" s="34" t="s">
        <v>58</v>
      </c>
      <c r="AM10" s="60">
        <f>AJ10/$AJ$5</f>
        <v>21.578636000000003</v>
      </c>
      <c r="AO10" s="34" t="s">
        <v>141</v>
      </c>
      <c r="AP10" s="34">
        <f>COUNTA(Y2:Y51)</f>
        <v>6</v>
      </c>
    </row>
    <row r="11" spans="1:42" ht="12.75">
      <c r="A11" s="2"/>
      <c r="B11" s="4"/>
      <c r="C11" s="34">
        <f>B11*AD11</f>
        <v>0</v>
      </c>
      <c r="D11" s="4"/>
      <c r="E11" s="34">
        <f>D11*AD11</f>
        <v>0</v>
      </c>
      <c r="F11" s="4"/>
      <c r="G11" s="34">
        <f>F11*AD11</f>
        <v>0</v>
      </c>
      <c r="H11" s="4"/>
      <c r="I11" s="34">
        <f>H11*AD11</f>
        <v>0</v>
      </c>
      <c r="J11" s="4"/>
      <c r="K11" s="34">
        <f>J11*AD11</f>
        <v>0</v>
      </c>
      <c r="L11" s="4"/>
      <c r="M11" s="34">
        <f>L11*AD11</f>
        <v>0</v>
      </c>
      <c r="O11" s="34">
        <f>N11*AD11</f>
        <v>0</v>
      </c>
      <c r="Q11" s="34">
        <f>P11*AD11</f>
        <v>0</v>
      </c>
      <c r="R11" s="4"/>
      <c r="S11" s="4"/>
      <c r="T11" s="4"/>
      <c r="U11" s="4"/>
      <c r="V11" s="4"/>
      <c r="W11" s="4"/>
      <c r="X11" s="4"/>
      <c r="Y11" s="4"/>
      <c r="Z11" s="4"/>
      <c r="AA11" s="4"/>
      <c r="AB11" s="4"/>
      <c r="AC11" s="34">
        <f>B11+D11+F11+H11+J11+L11+N11+P11</f>
        <v>0</v>
      </c>
      <c r="AD11" s="62">
        <f>623.66/1000</f>
        <v>0.62366</v>
      </c>
      <c r="AE11" s="62">
        <f>AC11*AD11</f>
        <v>0</v>
      </c>
      <c r="AG11" s="34">
        <v>27</v>
      </c>
      <c r="AI11" s="34" t="s">
        <v>173</v>
      </c>
      <c r="AJ11" s="60">
        <f>SUM(G2:G994)</f>
        <v>71.09724</v>
      </c>
      <c r="AL11" s="34" t="s">
        <v>174</v>
      </c>
      <c r="AM11" s="60">
        <f>AJ11/$AJ$5</f>
        <v>11.84954</v>
      </c>
      <c r="AO11" s="34" t="s">
        <v>175</v>
      </c>
      <c r="AP11" s="34">
        <f>COUNTA(Z2:Z52)</f>
        <v>0</v>
      </c>
    </row>
    <row r="12" spans="1:39" ht="12.75">
      <c r="A12" s="2"/>
      <c r="B12" s="4"/>
      <c r="C12" s="34">
        <f>B12*AD12</f>
        <v>0</v>
      </c>
      <c r="D12" s="4"/>
      <c r="E12" s="34">
        <f>D12*AD12</f>
        <v>0</v>
      </c>
      <c r="F12" s="4"/>
      <c r="G12" s="34">
        <f>F12*AD12</f>
        <v>0</v>
      </c>
      <c r="H12" s="4"/>
      <c r="I12" s="34">
        <f>H12*AD12</f>
        <v>0</v>
      </c>
      <c r="J12" s="4"/>
      <c r="K12" s="34">
        <f>J12*AD12</f>
        <v>0</v>
      </c>
      <c r="L12" s="4"/>
      <c r="M12" s="34">
        <f>L12*AD12</f>
        <v>0</v>
      </c>
      <c r="O12" s="34">
        <f>N12*AD12</f>
        <v>0</v>
      </c>
      <c r="Q12" s="34">
        <f>P12*AD12</f>
        <v>0</v>
      </c>
      <c r="R12" s="4"/>
      <c r="S12" s="4"/>
      <c r="T12" s="4"/>
      <c r="U12" s="4"/>
      <c r="V12" s="4"/>
      <c r="W12" s="4"/>
      <c r="X12" s="4"/>
      <c r="Y12" s="4"/>
      <c r="Z12" s="4"/>
      <c r="AA12" s="4"/>
      <c r="AB12" s="4"/>
      <c r="AC12" s="34">
        <f>B12+D12+F12+H12+J12+L12+N12+P12</f>
        <v>0</v>
      </c>
      <c r="AD12" s="62">
        <f>623.66/1000</f>
        <v>0.62366</v>
      </c>
      <c r="AE12" s="62">
        <f>AC12*AD12</f>
        <v>0</v>
      </c>
      <c r="AG12" s="34">
        <v>27</v>
      </c>
      <c r="AI12" s="34" t="s">
        <v>176</v>
      </c>
      <c r="AJ12" s="60">
        <f>SUM(K2:K994)</f>
        <v>0</v>
      </c>
      <c r="AL12" s="34" t="s">
        <v>128</v>
      </c>
      <c r="AM12" s="60">
        <f>AJ12/$AJ$5</f>
        <v>0</v>
      </c>
    </row>
    <row r="13" spans="1:39" ht="12.75">
      <c r="A13" s="2"/>
      <c r="B13" s="4"/>
      <c r="C13" s="34">
        <f>B13*AD13</f>
        <v>0</v>
      </c>
      <c r="D13" s="4"/>
      <c r="E13" s="34">
        <f>D13*AD13</f>
        <v>0</v>
      </c>
      <c r="F13" s="4"/>
      <c r="G13" s="34">
        <f>F13*AD13</f>
        <v>0</v>
      </c>
      <c r="H13" s="4"/>
      <c r="I13" s="34">
        <f>H13*AD13</f>
        <v>0</v>
      </c>
      <c r="J13" s="4"/>
      <c r="K13" s="34">
        <f>J13*AD13</f>
        <v>0</v>
      </c>
      <c r="L13" s="4"/>
      <c r="M13" s="34">
        <f>L13*AD13</f>
        <v>0</v>
      </c>
      <c r="O13" s="34">
        <f>N13*AD13</f>
        <v>0</v>
      </c>
      <c r="Q13" s="34">
        <f>P13*AD13</f>
        <v>0</v>
      </c>
      <c r="R13" s="4"/>
      <c r="S13" s="4"/>
      <c r="T13" s="4"/>
      <c r="U13" s="4"/>
      <c r="V13" s="4"/>
      <c r="W13" s="4"/>
      <c r="X13" s="4"/>
      <c r="Y13" s="4"/>
      <c r="Z13" s="4"/>
      <c r="AA13" s="4"/>
      <c r="AB13" s="4"/>
      <c r="AC13" s="34">
        <f>B13+D13+F13+H13+J13+L13+N13+P13</f>
        <v>0</v>
      </c>
      <c r="AD13" s="62">
        <f>623.66/1000</f>
        <v>0.62366</v>
      </c>
      <c r="AE13" s="62">
        <f>AC13*AD13</f>
        <v>0</v>
      </c>
      <c r="AG13" s="34">
        <v>27</v>
      </c>
      <c r="AI13" s="34" t="s">
        <v>177</v>
      </c>
      <c r="AJ13" s="60">
        <f>SUM(I2:I994)</f>
        <v>0</v>
      </c>
      <c r="AL13" s="34" t="s">
        <v>126</v>
      </c>
      <c r="AM13" s="60">
        <f>AJ13/$AJ$5</f>
        <v>0</v>
      </c>
    </row>
    <row r="14" spans="1:36" ht="12.75">
      <c r="A14" s="2"/>
      <c r="B14" s="4"/>
      <c r="C14" s="34">
        <f>B14*AD14</f>
        <v>0</v>
      </c>
      <c r="D14" s="4"/>
      <c r="E14" s="34">
        <f>D14*AD14</f>
        <v>0</v>
      </c>
      <c r="F14" s="4"/>
      <c r="G14" s="34">
        <f>F14*AD14</f>
        <v>0</v>
      </c>
      <c r="H14" s="4"/>
      <c r="I14" s="34">
        <f>H14*AD14</f>
        <v>0</v>
      </c>
      <c r="J14" s="4"/>
      <c r="K14" s="34">
        <f>J14*AD14</f>
        <v>0</v>
      </c>
      <c r="L14" s="4"/>
      <c r="M14" s="34">
        <f>L14*AD14</f>
        <v>0</v>
      </c>
      <c r="O14" s="34">
        <f>N14*AD14</f>
        <v>0</v>
      </c>
      <c r="Q14" s="34">
        <f>P14*AD14</f>
        <v>0</v>
      </c>
      <c r="R14" s="4"/>
      <c r="S14" s="4"/>
      <c r="T14" s="4"/>
      <c r="U14" s="4"/>
      <c r="V14" s="4"/>
      <c r="W14" s="4"/>
      <c r="X14" s="4"/>
      <c r="Y14" s="4"/>
      <c r="Z14" s="4"/>
      <c r="AA14" s="4"/>
      <c r="AB14" s="4"/>
      <c r="AC14" s="34">
        <f>B14+D14+F14+H14+J14+L14+N14+P14</f>
        <v>0</v>
      </c>
      <c r="AD14" s="62">
        <f>623.66/1000</f>
        <v>0.62366</v>
      </c>
      <c r="AE14" s="62">
        <f>AC14*AD14</f>
        <v>0</v>
      </c>
      <c r="AG14" s="34">
        <v>27</v>
      </c>
      <c r="AI14" s="34" t="s">
        <v>178</v>
      </c>
      <c r="AJ14" s="60">
        <f>SUM(O2:O994)</f>
        <v>0</v>
      </c>
    </row>
    <row r="15" spans="1:36" ht="12.75">
      <c r="A15" s="2"/>
      <c r="B15" s="4"/>
      <c r="C15" s="34">
        <f>B15*AD15</f>
        <v>0</v>
      </c>
      <c r="D15" s="4"/>
      <c r="E15" s="34">
        <f>D15*AD15</f>
        <v>0</v>
      </c>
      <c r="F15" s="4"/>
      <c r="G15" s="34">
        <f>F15*AD15</f>
        <v>0</v>
      </c>
      <c r="H15" s="4"/>
      <c r="I15" s="34">
        <f>H15*AD15</f>
        <v>0</v>
      </c>
      <c r="J15" s="4"/>
      <c r="K15" s="34">
        <f>J15*AD15</f>
        <v>0</v>
      </c>
      <c r="L15" s="4"/>
      <c r="M15" s="34">
        <f>L15*AD15</f>
        <v>0</v>
      </c>
      <c r="O15" s="34">
        <f>N15*AD15</f>
        <v>0</v>
      </c>
      <c r="Q15" s="34">
        <f>P15*AD15</f>
        <v>0</v>
      </c>
      <c r="R15" s="4"/>
      <c r="S15" s="4"/>
      <c r="T15" s="4"/>
      <c r="U15" s="4"/>
      <c r="V15" s="4"/>
      <c r="W15" s="4"/>
      <c r="X15" s="4"/>
      <c r="Y15" s="4"/>
      <c r="Z15" s="4"/>
      <c r="AA15" s="4"/>
      <c r="AB15" s="4"/>
      <c r="AC15" s="34">
        <f>B15+D15+F15+H15+J15+L15+N15+P15</f>
        <v>0</v>
      </c>
      <c r="AD15" s="62">
        <f>623.66/1000</f>
        <v>0.62366</v>
      </c>
      <c r="AE15" s="62">
        <f>AC15*AD15</f>
        <v>0</v>
      </c>
      <c r="AG15" s="34">
        <v>27</v>
      </c>
      <c r="AI15" s="34" t="s">
        <v>179</v>
      </c>
      <c r="AJ15" s="34">
        <f>SUM(Q2:Q60)</f>
        <v>0</v>
      </c>
    </row>
    <row r="16" spans="1:35" ht="12.75">
      <c r="A16" s="2"/>
      <c r="B16" s="4"/>
      <c r="C16" s="34">
        <f>B16*AD16</f>
        <v>0</v>
      </c>
      <c r="D16" s="4"/>
      <c r="E16" s="34">
        <f>D16*AD16</f>
        <v>0</v>
      </c>
      <c r="F16" s="4"/>
      <c r="G16" s="34">
        <f>F16*AD16</f>
        <v>0</v>
      </c>
      <c r="H16" s="4"/>
      <c r="I16" s="34">
        <f>H16*AD16</f>
        <v>0</v>
      </c>
      <c r="J16" s="4"/>
      <c r="K16" s="34">
        <f>J16*AD16</f>
        <v>0</v>
      </c>
      <c r="L16" s="4"/>
      <c r="M16" s="34">
        <f>L16*AD16</f>
        <v>0</v>
      </c>
      <c r="O16" s="34">
        <f>N16*AD16</f>
        <v>0</v>
      </c>
      <c r="Q16" s="34">
        <f>P16*AD16</f>
        <v>0</v>
      </c>
      <c r="R16" s="4"/>
      <c r="S16" s="4"/>
      <c r="T16" s="4"/>
      <c r="U16" s="4"/>
      <c r="V16" s="4"/>
      <c r="W16" s="4"/>
      <c r="X16" s="4"/>
      <c r="Y16" s="4"/>
      <c r="Z16" s="4"/>
      <c r="AA16" s="4"/>
      <c r="AB16" s="4"/>
      <c r="AC16" s="34">
        <f>B16+D16+F16+H16+J16+L16+N16+P16</f>
        <v>0</v>
      </c>
      <c r="AD16" s="62">
        <f>623.66/1000</f>
        <v>0.62366</v>
      </c>
      <c r="AE16" s="62">
        <f>AC16*AD16</f>
        <v>0</v>
      </c>
      <c r="AG16" s="34">
        <v>27</v>
      </c>
      <c r="AI16" s="65"/>
    </row>
    <row r="17" spans="1:44" ht="12.75">
      <c r="A17" s="2"/>
      <c r="B17" s="4"/>
      <c r="C17" s="34">
        <f>B17*AD17</f>
        <v>0</v>
      </c>
      <c r="D17" s="4"/>
      <c r="E17" s="34">
        <f>D17*AD17</f>
        <v>0</v>
      </c>
      <c r="F17" s="4"/>
      <c r="G17" s="34">
        <f>F17*AD17</f>
        <v>0</v>
      </c>
      <c r="H17" s="4"/>
      <c r="I17" s="34">
        <f>H17*AD17</f>
        <v>0</v>
      </c>
      <c r="J17" s="4"/>
      <c r="K17" s="34">
        <f>J17*AD17</f>
        <v>0</v>
      </c>
      <c r="L17" s="4"/>
      <c r="M17" s="34">
        <f>L17*AD17</f>
        <v>0</v>
      </c>
      <c r="O17" s="34">
        <f>N17*AD17</f>
        <v>0</v>
      </c>
      <c r="Q17" s="34">
        <f>P17*AD17</f>
        <v>0</v>
      </c>
      <c r="R17" s="4"/>
      <c r="S17" s="4"/>
      <c r="T17" s="4"/>
      <c r="U17" s="4"/>
      <c r="V17" s="4"/>
      <c r="W17" s="4"/>
      <c r="X17" s="4"/>
      <c r="Y17" s="4"/>
      <c r="Z17" s="4"/>
      <c r="AA17" s="4"/>
      <c r="AB17" s="4"/>
      <c r="AC17" s="34">
        <f>B17+D17+F17+H17+J17+L17+N17+P17</f>
        <v>0</v>
      </c>
      <c r="AD17" s="62">
        <f>623.66/1000</f>
        <v>0.62366</v>
      </c>
      <c r="AE17" s="62">
        <f>AC17*AD17</f>
        <v>0</v>
      </c>
      <c r="AG17" s="34">
        <v>27</v>
      </c>
      <c r="AR17" s="59"/>
    </row>
    <row r="18" spans="1:44" ht="12.75">
      <c r="A18" s="2"/>
      <c r="B18" s="4"/>
      <c r="C18" s="34">
        <f>B18*AD18</f>
        <v>0</v>
      </c>
      <c r="D18" s="4"/>
      <c r="E18" s="34">
        <f>D18*AD18</f>
        <v>0</v>
      </c>
      <c r="F18" s="4"/>
      <c r="G18" s="34">
        <f>F18*AD18</f>
        <v>0</v>
      </c>
      <c r="H18" s="4"/>
      <c r="I18" s="34">
        <f>H18*AD18</f>
        <v>0</v>
      </c>
      <c r="J18" s="4"/>
      <c r="K18" s="34">
        <f>J18*AD18</f>
        <v>0</v>
      </c>
      <c r="L18" s="4"/>
      <c r="M18" s="34">
        <f>L18*AD18</f>
        <v>0</v>
      </c>
      <c r="O18" s="34">
        <f>N18*AD18</f>
        <v>0</v>
      </c>
      <c r="Q18" s="34">
        <f>P18*AD18</f>
        <v>0</v>
      </c>
      <c r="R18" s="4"/>
      <c r="S18" s="4"/>
      <c r="T18" s="4"/>
      <c r="U18" s="4"/>
      <c r="V18" s="4"/>
      <c r="W18" s="4"/>
      <c r="X18" s="4"/>
      <c r="Y18" s="4"/>
      <c r="Z18" s="4"/>
      <c r="AA18" s="4"/>
      <c r="AB18" s="4"/>
      <c r="AC18" s="34">
        <f>B18+D18+F18+H18+J18+L18+N18+P18</f>
        <v>0</v>
      </c>
      <c r="AD18" s="62">
        <f>623.66/1000</f>
        <v>0.62366</v>
      </c>
      <c r="AE18" s="62">
        <f>AC18*AD18</f>
        <v>0</v>
      </c>
      <c r="AG18" s="34">
        <v>27</v>
      </c>
      <c r="AI18" s="34" t="s">
        <v>182</v>
      </c>
      <c r="AJ18" s="34">
        <f>SUM(AA2:AA50)</f>
        <v>0</v>
      </c>
      <c r="AR18" s="59"/>
    </row>
    <row r="19" spans="1:33" ht="12.75">
      <c r="A19" s="2"/>
      <c r="B19" s="4"/>
      <c r="C19" s="34">
        <f>B19*AD19</f>
        <v>0</v>
      </c>
      <c r="D19" s="4"/>
      <c r="E19" s="34">
        <f>D19*AD19</f>
        <v>0</v>
      </c>
      <c r="F19" s="4"/>
      <c r="G19" s="34">
        <f>F19*AD19</f>
        <v>0</v>
      </c>
      <c r="H19" s="4"/>
      <c r="I19" s="34">
        <f>H19*AD19</f>
        <v>0</v>
      </c>
      <c r="J19" s="4"/>
      <c r="K19" s="34">
        <f>J19*AD19</f>
        <v>0</v>
      </c>
      <c r="L19" s="4"/>
      <c r="M19" s="34">
        <f>L19*AD19</f>
        <v>0</v>
      </c>
      <c r="O19" s="34">
        <f>N19*AD19</f>
        <v>0</v>
      </c>
      <c r="Q19" s="34">
        <f>P19*AD19</f>
        <v>0</v>
      </c>
      <c r="R19" s="4"/>
      <c r="S19" s="4"/>
      <c r="T19" s="4"/>
      <c r="U19" s="4"/>
      <c r="V19" s="4"/>
      <c r="W19" s="4"/>
      <c r="X19" s="4"/>
      <c r="Y19" s="4"/>
      <c r="Z19" s="4"/>
      <c r="AA19" s="4"/>
      <c r="AB19" s="4"/>
      <c r="AC19" s="34">
        <f>B19+D19+F19+H19+J19+L19+N19+P19</f>
        <v>0</v>
      </c>
      <c r="AD19" s="62">
        <f>623.66/1000</f>
        <v>0.62366</v>
      </c>
      <c r="AE19" s="62">
        <f>AC19*AD19</f>
        <v>0</v>
      </c>
      <c r="AG19" s="34">
        <v>27</v>
      </c>
    </row>
    <row r="20" spans="1:33" ht="12.75">
      <c r="A20" s="2"/>
      <c r="B20" s="4"/>
      <c r="C20" s="34">
        <f>B20*AD20</f>
        <v>0</v>
      </c>
      <c r="D20" s="4"/>
      <c r="E20" s="34">
        <f>D20*AD20</f>
        <v>0</v>
      </c>
      <c r="F20" s="4"/>
      <c r="G20" s="34">
        <f>F20*AD20</f>
        <v>0</v>
      </c>
      <c r="H20" s="4"/>
      <c r="I20" s="34">
        <f>H20*AD20</f>
        <v>0</v>
      </c>
      <c r="J20" s="4"/>
      <c r="K20" s="34">
        <f>J20*AD20</f>
        <v>0</v>
      </c>
      <c r="L20" s="4"/>
      <c r="M20" s="34">
        <f>L20*AD20</f>
        <v>0</v>
      </c>
      <c r="O20" s="34">
        <f>N20*AD20</f>
        <v>0</v>
      </c>
      <c r="Q20" s="34">
        <f>P20*AD20</f>
        <v>0</v>
      </c>
      <c r="R20" s="4"/>
      <c r="S20" s="4"/>
      <c r="T20" s="4"/>
      <c r="U20" s="4"/>
      <c r="V20" s="4"/>
      <c r="W20" s="4"/>
      <c r="X20" s="4"/>
      <c r="Y20" s="4"/>
      <c r="Z20" s="4"/>
      <c r="AA20" s="4"/>
      <c r="AB20" s="4"/>
      <c r="AC20" s="34">
        <f>B20+D20+F20+H20+J20+L20+N20+P20</f>
        <v>0</v>
      </c>
      <c r="AD20" s="62">
        <f>623.66/1000</f>
        <v>0.62366</v>
      </c>
      <c r="AE20" s="62">
        <f>AC20*AD20</f>
        <v>0</v>
      </c>
      <c r="AG20" s="34">
        <v>27</v>
      </c>
    </row>
    <row r="21" spans="1:33" ht="12.75">
      <c r="A21" s="2"/>
      <c r="B21" s="4"/>
      <c r="C21" s="34">
        <f>B21*AD21</f>
        <v>0</v>
      </c>
      <c r="D21" s="4"/>
      <c r="E21" s="34">
        <f>D21*AD21</f>
        <v>0</v>
      </c>
      <c r="F21" s="4"/>
      <c r="G21" s="34">
        <f>F21*AD21</f>
        <v>0</v>
      </c>
      <c r="H21" s="4"/>
      <c r="I21" s="34">
        <f>H21*AD21</f>
        <v>0</v>
      </c>
      <c r="J21" s="4"/>
      <c r="K21" s="34">
        <f>J21*AD21</f>
        <v>0</v>
      </c>
      <c r="L21" s="4"/>
      <c r="M21" s="34">
        <f>L21*AD21</f>
        <v>0</v>
      </c>
      <c r="O21" s="34">
        <f>N21*AD21</f>
        <v>0</v>
      </c>
      <c r="Q21" s="34">
        <f>P21*AD21</f>
        <v>0</v>
      </c>
      <c r="R21" s="4"/>
      <c r="S21" s="4"/>
      <c r="T21" s="4"/>
      <c r="U21" s="4"/>
      <c r="V21" s="4"/>
      <c r="W21" s="4"/>
      <c r="X21" s="4"/>
      <c r="Y21" s="4"/>
      <c r="Z21" s="4"/>
      <c r="AA21" s="4"/>
      <c r="AB21" s="4"/>
      <c r="AC21" s="34">
        <f>B21+D21+F21+H21+J21+L21+N21+P21</f>
        <v>0</v>
      </c>
      <c r="AD21" s="62">
        <f>623.66/1000</f>
        <v>0.62366</v>
      </c>
      <c r="AE21" s="62">
        <f>AC21*AD21</f>
        <v>0</v>
      </c>
      <c r="AG21" s="34">
        <v>27</v>
      </c>
    </row>
    <row r="22" spans="1:33" ht="12.75">
      <c r="A22" s="2"/>
      <c r="B22" s="4"/>
      <c r="C22" s="34">
        <f>B22*AD22</f>
        <v>0</v>
      </c>
      <c r="D22" s="4"/>
      <c r="E22" s="34">
        <f>D22*AD22</f>
        <v>0</v>
      </c>
      <c r="F22" s="4"/>
      <c r="G22" s="34">
        <f>F22*AD22</f>
        <v>0</v>
      </c>
      <c r="H22" s="4"/>
      <c r="I22" s="34">
        <f>H22*AD22</f>
        <v>0</v>
      </c>
      <c r="J22" s="4"/>
      <c r="K22" s="34">
        <f>J22*AD22</f>
        <v>0</v>
      </c>
      <c r="L22" s="4"/>
      <c r="M22" s="34">
        <f>L22*AD22</f>
        <v>0</v>
      </c>
      <c r="O22" s="34">
        <f>N22*AD22</f>
        <v>0</v>
      </c>
      <c r="Q22" s="34">
        <f>P22*AD22</f>
        <v>0</v>
      </c>
      <c r="R22" s="4"/>
      <c r="S22" s="4"/>
      <c r="T22" s="4"/>
      <c r="U22" s="4"/>
      <c r="V22" s="4"/>
      <c r="W22" s="4"/>
      <c r="X22" s="4"/>
      <c r="Y22" s="4"/>
      <c r="Z22" s="4"/>
      <c r="AA22" s="4"/>
      <c r="AB22" s="4"/>
      <c r="AC22" s="34">
        <f>B22+D22+F22+H22+J22+L22+N22+P22</f>
        <v>0</v>
      </c>
      <c r="AD22" s="62">
        <f>623.66/1000</f>
        <v>0.62366</v>
      </c>
      <c r="AE22" s="62">
        <f>AC22*AD22</f>
        <v>0</v>
      </c>
      <c r="AG22" s="34">
        <v>27</v>
      </c>
    </row>
    <row r="23" spans="1:33" ht="12.75">
      <c r="A23" s="2"/>
      <c r="B23" s="4"/>
      <c r="C23" s="34">
        <f>B23*AD23</f>
        <v>0</v>
      </c>
      <c r="D23" s="4"/>
      <c r="E23" s="34">
        <f>D23*AD23</f>
        <v>0</v>
      </c>
      <c r="F23" s="4"/>
      <c r="G23" s="34">
        <f>F23*AD23</f>
        <v>0</v>
      </c>
      <c r="H23" s="4"/>
      <c r="I23" s="34">
        <f>H23*AD23</f>
        <v>0</v>
      </c>
      <c r="J23" s="4"/>
      <c r="K23" s="34">
        <f>J23*AD23</f>
        <v>0</v>
      </c>
      <c r="L23" s="4"/>
      <c r="M23" s="34">
        <f>L23*AD23</f>
        <v>0</v>
      </c>
      <c r="O23" s="34">
        <f>N23*AD23</f>
        <v>0</v>
      </c>
      <c r="Q23" s="34">
        <f>P23*AD23</f>
        <v>0</v>
      </c>
      <c r="R23" s="4"/>
      <c r="S23" s="4"/>
      <c r="T23" s="4"/>
      <c r="U23" s="4"/>
      <c r="V23" s="4"/>
      <c r="W23" s="4"/>
      <c r="X23" s="4"/>
      <c r="Y23" s="4"/>
      <c r="Z23" s="4"/>
      <c r="AA23" s="4"/>
      <c r="AB23" s="4"/>
      <c r="AC23" s="34">
        <f>B23+D23+F23+H23+J23+L23+N23+P23</f>
        <v>0</v>
      </c>
      <c r="AD23" s="62">
        <f>623.66/1000</f>
        <v>0.62366</v>
      </c>
      <c r="AE23" s="62">
        <f>AC23*AD23</f>
        <v>0</v>
      </c>
      <c r="AG23" s="34">
        <v>27</v>
      </c>
    </row>
    <row r="24" spans="1:33" ht="12.75">
      <c r="A24" s="2"/>
      <c r="B24" s="4"/>
      <c r="C24" s="34">
        <f>B24*AD24</f>
        <v>0</v>
      </c>
      <c r="D24" s="4"/>
      <c r="E24" s="34">
        <f>D24*AD24</f>
        <v>0</v>
      </c>
      <c r="F24" s="4"/>
      <c r="G24" s="34">
        <f>F24*AD24</f>
        <v>0</v>
      </c>
      <c r="H24" s="4"/>
      <c r="I24" s="34">
        <f>H24*AD24</f>
        <v>0</v>
      </c>
      <c r="J24" s="4"/>
      <c r="K24" s="34">
        <f>J24*AD24</f>
        <v>0</v>
      </c>
      <c r="L24" s="4"/>
      <c r="M24" s="34">
        <f>L24*AD24</f>
        <v>0</v>
      </c>
      <c r="O24" s="34">
        <f>N24*AD24</f>
        <v>0</v>
      </c>
      <c r="Q24" s="34">
        <f>P24*AD24</f>
        <v>0</v>
      </c>
      <c r="R24" s="4"/>
      <c r="S24" s="4"/>
      <c r="T24" s="4"/>
      <c r="U24" s="4"/>
      <c r="V24" s="4"/>
      <c r="W24" s="4"/>
      <c r="X24" s="4"/>
      <c r="Y24" s="4"/>
      <c r="Z24" s="4"/>
      <c r="AA24" s="4"/>
      <c r="AB24" s="4"/>
      <c r="AC24" s="34">
        <f>B24+D24+F24+H24+J24+L24+N24+P24</f>
        <v>0</v>
      </c>
      <c r="AD24" s="62">
        <f>623.66/1000</f>
        <v>0.62366</v>
      </c>
      <c r="AE24" s="62">
        <f>AC24*AD24</f>
        <v>0</v>
      </c>
      <c r="AG24" s="34">
        <v>27</v>
      </c>
    </row>
    <row r="25" spans="1:33" ht="12.75">
      <c r="A25" s="2"/>
      <c r="B25" s="4"/>
      <c r="C25" s="34">
        <f>B25*AD25</f>
        <v>0</v>
      </c>
      <c r="D25" s="4"/>
      <c r="E25" s="34">
        <f>D25*AD25</f>
        <v>0</v>
      </c>
      <c r="F25" s="4"/>
      <c r="G25" s="34">
        <f>F25*AD25</f>
        <v>0</v>
      </c>
      <c r="H25" s="4"/>
      <c r="I25" s="34">
        <f>H25*AD25</f>
        <v>0</v>
      </c>
      <c r="J25" s="4"/>
      <c r="K25" s="34">
        <f>J25*AD25</f>
        <v>0</v>
      </c>
      <c r="L25" s="4"/>
      <c r="M25" s="34">
        <f>L25*AD25</f>
        <v>0</v>
      </c>
      <c r="O25" s="34">
        <f>N25*AD25</f>
        <v>0</v>
      </c>
      <c r="Q25" s="34">
        <f>P25*AD25</f>
        <v>0</v>
      </c>
      <c r="R25" s="4"/>
      <c r="S25" s="4"/>
      <c r="T25" s="4"/>
      <c r="U25" s="4"/>
      <c r="V25" s="4"/>
      <c r="W25" s="4"/>
      <c r="X25" s="4"/>
      <c r="Y25" s="4"/>
      <c r="Z25" s="4"/>
      <c r="AA25" s="4"/>
      <c r="AB25" s="4"/>
      <c r="AC25" s="34">
        <f>B25+D25+F25+H25+J25+L25+N25+P25</f>
        <v>0</v>
      </c>
      <c r="AD25" s="62">
        <f>623.66/1000</f>
        <v>0.62366</v>
      </c>
      <c r="AE25" s="62">
        <f>AC25*AD25</f>
        <v>0</v>
      </c>
      <c r="AG25" s="34">
        <v>27</v>
      </c>
    </row>
    <row r="26" spans="1:33" ht="12.75">
      <c r="A26" s="2"/>
      <c r="B26" s="4"/>
      <c r="C26" s="34">
        <f>B26*AD26</f>
        <v>0</v>
      </c>
      <c r="D26" s="4"/>
      <c r="E26" s="34">
        <f>D26*AD26</f>
        <v>0</v>
      </c>
      <c r="F26" s="4"/>
      <c r="G26" s="34">
        <f>F26*AD26</f>
        <v>0</v>
      </c>
      <c r="H26" s="4"/>
      <c r="I26" s="34">
        <f>H26*AD26</f>
        <v>0</v>
      </c>
      <c r="J26" s="4"/>
      <c r="K26" s="34">
        <f>J26*AD26</f>
        <v>0</v>
      </c>
      <c r="L26" s="4"/>
      <c r="M26" s="34">
        <f>L26*AD26</f>
        <v>0</v>
      </c>
      <c r="O26" s="34">
        <f>N26*AD26</f>
        <v>0</v>
      </c>
      <c r="Q26" s="34">
        <f>P26*AD26</f>
        <v>0</v>
      </c>
      <c r="R26" s="4"/>
      <c r="S26" s="4"/>
      <c r="T26" s="4"/>
      <c r="U26" s="4"/>
      <c r="V26" s="4"/>
      <c r="W26" s="4"/>
      <c r="X26" s="4"/>
      <c r="Y26" s="4"/>
      <c r="Z26" s="4"/>
      <c r="AA26" s="4"/>
      <c r="AB26" s="4"/>
      <c r="AC26" s="34">
        <f>B26+D26+F26+H26+J26+L26+N26+P26</f>
        <v>0</v>
      </c>
      <c r="AD26" s="62">
        <f>623.66/1000</f>
        <v>0.62366</v>
      </c>
      <c r="AE26" s="62">
        <f>AC26*AD26</f>
        <v>0</v>
      </c>
      <c r="AG26" s="34">
        <v>27</v>
      </c>
    </row>
    <row r="27" spans="1:33" ht="12.75">
      <c r="A27" s="2"/>
      <c r="B27" s="4"/>
      <c r="C27" s="34">
        <f>B27*AD27</f>
        <v>0</v>
      </c>
      <c r="D27" s="4"/>
      <c r="E27" s="34">
        <f>D27*AD27</f>
        <v>0</v>
      </c>
      <c r="F27" s="4"/>
      <c r="G27" s="34">
        <f>F27*AD27</f>
        <v>0</v>
      </c>
      <c r="H27" s="4"/>
      <c r="I27" s="34">
        <f>H27*AD27</f>
        <v>0</v>
      </c>
      <c r="J27" s="4"/>
      <c r="K27" s="34">
        <f>J27*AD27</f>
        <v>0</v>
      </c>
      <c r="L27" s="4"/>
      <c r="M27" s="34">
        <f>L27*AD27</f>
        <v>0</v>
      </c>
      <c r="O27" s="34">
        <f>N27*AD27</f>
        <v>0</v>
      </c>
      <c r="Q27" s="34">
        <f>P27*AD27</f>
        <v>0</v>
      </c>
      <c r="R27" s="4"/>
      <c r="S27" s="4"/>
      <c r="T27" s="4"/>
      <c r="U27" s="4"/>
      <c r="V27" s="4"/>
      <c r="W27" s="4"/>
      <c r="X27" s="4"/>
      <c r="Y27" s="4"/>
      <c r="Z27" s="4"/>
      <c r="AA27" s="4"/>
      <c r="AB27" s="4"/>
      <c r="AC27" s="34">
        <f>B27+D27+F27+H27+J27+L27+N27+P27</f>
        <v>0</v>
      </c>
      <c r="AD27" s="62">
        <f>623.66/1000</f>
        <v>0.62366</v>
      </c>
      <c r="AE27" s="62">
        <f>AC27*AD27</f>
        <v>0</v>
      </c>
      <c r="AG27" s="34">
        <v>27</v>
      </c>
    </row>
    <row r="28" spans="1:33" ht="12.75">
      <c r="A28" s="2"/>
      <c r="B28" s="4"/>
      <c r="C28" s="34">
        <f>B28*AD28</f>
        <v>0</v>
      </c>
      <c r="D28" s="4"/>
      <c r="E28" s="34">
        <f>D28*AD28</f>
        <v>0</v>
      </c>
      <c r="F28" s="4"/>
      <c r="G28" s="34">
        <f>F28*AD28</f>
        <v>0</v>
      </c>
      <c r="H28" s="4"/>
      <c r="I28" s="34">
        <f>H28*AD28</f>
        <v>0</v>
      </c>
      <c r="J28" s="4"/>
      <c r="K28" s="34">
        <f>J28*AD28</f>
        <v>0</v>
      </c>
      <c r="L28" s="4"/>
      <c r="M28" s="34">
        <f>L28*AD28</f>
        <v>0</v>
      </c>
      <c r="O28" s="34">
        <f>N28*AD28</f>
        <v>0</v>
      </c>
      <c r="Q28" s="34">
        <f>P28*AD28</f>
        <v>0</v>
      </c>
      <c r="R28" s="4"/>
      <c r="S28" s="4"/>
      <c r="T28" s="4"/>
      <c r="U28" s="4"/>
      <c r="V28" s="4"/>
      <c r="W28" s="4"/>
      <c r="X28" s="4"/>
      <c r="Y28" s="4"/>
      <c r="Z28" s="4"/>
      <c r="AA28" s="4"/>
      <c r="AB28" s="4"/>
      <c r="AC28" s="34">
        <f>B28+D28+F28+H28+J28+L28+N28+P28</f>
        <v>0</v>
      </c>
      <c r="AD28" s="62">
        <f>623.66/1000</f>
        <v>0.62366</v>
      </c>
      <c r="AE28" s="62">
        <f>AC28*AD28</f>
        <v>0</v>
      </c>
      <c r="AG28" s="34">
        <v>27</v>
      </c>
    </row>
    <row r="29" spans="1:33" ht="12.75">
      <c r="A29" s="2"/>
      <c r="B29" s="4"/>
      <c r="C29" s="34">
        <f>B29*AD29</f>
        <v>0</v>
      </c>
      <c r="D29" s="4"/>
      <c r="E29" s="34">
        <f>D29*AD29</f>
        <v>0</v>
      </c>
      <c r="F29" s="4"/>
      <c r="G29" s="34">
        <f>F29*AD29</f>
        <v>0</v>
      </c>
      <c r="H29" s="4"/>
      <c r="I29" s="34">
        <f>H29*AD29</f>
        <v>0</v>
      </c>
      <c r="J29" s="4"/>
      <c r="K29" s="34">
        <f>J29*AD29</f>
        <v>0</v>
      </c>
      <c r="L29" s="4"/>
      <c r="M29" s="34">
        <f>L29*AD29</f>
        <v>0</v>
      </c>
      <c r="O29" s="34">
        <f>N29*AD29</f>
        <v>0</v>
      </c>
      <c r="Q29" s="34">
        <f>P29*AD29</f>
        <v>0</v>
      </c>
      <c r="R29" s="4"/>
      <c r="S29" s="4"/>
      <c r="T29" s="4"/>
      <c r="U29" s="4"/>
      <c r="V29" s="4"/>
      <c r="W29" s="4"/>
      <c r="X29" s="4"/>
      <c r="Y29" s="4"/>
      <c r="Z29" s="4"/>
      <c r="AA29" s="4"/>
      <c r="AB29" s="4"/>
      <c r="AC29" s="34">
        <f>B29+D29+F29+H29+J29+L29+N29+P29</f>
        <v>0</v>
      </c>
      <c r="AD29" s="62">
        <f>623.66/1000</f>
        <v>0.62366</v>
      </c>
      <c r="AE29" s="62">
        <f>AC29*AD29</f>
        <v>0</v>
      </c>
      <c r="AG29" s="34">
        <v>27</v>
      </c>
    </row>
    <row r="30" spans="1:33" ht="12.75">
      <c r="A30" s="2"/>
      <c r="B30" s="4"/>
      <c r="C30" s="34">
        <f>B30*AD30</f>
        <v>0</v>
      </c>
      <c r="D30" s="4"/>
      <c r="E30" s="34">
        <f>D30*AD30</f>
        <v>0</v>
      </c>
      <c r="F30" s="4"/>
      <c r="G30" s="34">
        <f>F30*AD30</f>
        <v>0</v>
      </c>
      <c r="H30" s="4"/>
      <c r="I30" s="34">
        <f>H30*AD30</f>
        <v>0</v>
      </c>
      <c r="J30" s="4"/>
      <c r="K30" s="34">
        <f>J30*AD30</f>
        <v>0</v>
      </c>
      <c r="L30" s="4"/>
      <c r="M30" s="34">
        <f>L30*AD30</f>
        <v>0</v>
      </c>
      <c r="O30" s="34">
        <f>N30*AD30</f>
        <v>0</v>
      </c>
      <c r="Q30" s="34">
        <f>P30*AD30</f>
        <v>0</v>
      </c>
      <c r="R30" s="4"/>
      <c r="S30" s="4"/>
      <c r="T30" s="4"/>
      <c r="U30" s="4"/>
      <c r="V30" s="4"/>
      <c r="W30" s="4"/>
      <c r="X30" s="4"/>
      <c r="Y30" s="4"/>
      <c r="Z30" s="4"/>
      <c r="AA30" s="4"/>
      <c r="AB30" s="4"/>
      <c r="AC30" s="34">
        <f>B30+D30+F30+H30+J30+L30+N30+P30</f>
        <v>0</v>
      </c>
      <c r="AD30" s="62">
        <f>623.66/1000</f>
        <v>0.62366</v>
      </c>
      <c r="AE30" s="62">
        <f>AC30*AD30</f>
        <v>0</v>
      </c>
      <c r="AG30" s="34">
        <v>27</v>
      </c>
    </row>
    <row r="31" spans="1:33" ht="12.75">
      <c r="A31" s="2"/>
      <c r="B31" s="4"/>
      <c r="C31" s="34">
        <f>B31*AD31</f>
        <v>0</v>
      </c>
      <c r="D31" s="4"/>
      <c r="E31" s="34">
        <f>D31*AD31</f>
        <v>0</v>
      </c>
      <c r="F31" s="4"/>
      <c r="G31" s="34">
        <f>F31*AD31</f>
        <v>0</v>
      </c>
      <c r="H31" s="4"/>
      <c r="I31" s="34">
        <f>H31*AD31</f>
        <v>0</v>
      </c>
      <c r="J31" s="4"/>
      <c r="K31" s="34">
        <f>J31*AD31</f>
        <v>0</v>
      </c>
      <c r="L31" s="4"/>
      <c r="M31" s="34">
        <f>L31*AD31</f>
        <v>0</v>
      </c>
      <c r="O31" s="34">
        <f>N31*AD31</f>
        <v>0</v>
      </c>
      <c r="Q31" s="34">
        <f>P31*AD31</f>
        <v>0</v>
      </c>
      <c r="R31" s="4"/>
      <c r="S31" s="4"/>
      <c r="T31" s="4"/>
      <c r="U31" s="4"/>
      <c r="V31" s="4"/>
      <c r="W31" s="4"/>
      <c r="X31" s="4"/>
      <c r="Y31" s="4"/>
      <c r="Z31" s="4"/>
      <c r="AA31" s="4"/>
      <c r="AB31" s="4"/>
      <c r="AC31" s="34">
        <f>B31+D31+F31+H31+J31+L31+N31+P31</f>
        <v>0</v>
      </c>
      <c r="AD31" s="62">
        <f>623.66/1000</f>
        <v>0.62366</v>
      </c>
      <c r="AE31" s="62">
        <f>AC31*AD31</f>
        <v>0</v>
      </c>
      <c r="AG31" s="34">
        <v>27</v>
      </c>
    </row>
    <row r="32" spans="1:33" ht="12.75">
      <c r="A32" s="2"/>
      <c r="B32" s="4"/>
      <c r="C32" s="34">
        <f>B32*AD32</f>
        <v>0</v>
      </c>
      <c r="D32" s="4"/>
      <c r="E32" s="34">
        <f>D32*AD32</f>
        <v>0</v>
      </c>
      <c r="F32" s="4"/>
      <c r="G32" s="34">
        <f>F32*AD32</f>
        <v>0</v>
      </c>
      <c r="H32" s="4"/>
      <c r="I32" s="34">
        <f>H32*AD32</f>
        <v>0</v>
      </c>
      <c r="J32" s="4"/>
      <c r="K32" s="34">
        <f>J32*AD32</f>
        <v>0</v>
      </c>
      <c r="L32" s="4"/>
      <c r="M32" s="34">
        <f>L32*AD32</f>
        <v>0</v>
      </c>
      <c r="O32" s="34">
        <f>N32*AD32</f>
        <v>0</v>
      </c>
      <c r="Q32" s="34">
        <f>P32*AD32</f>
        <v>0</v>
      </c>
      <c r="R32" s="4"/>
      <c r="S32" s="4"/>
      <c r="T32" s="4"/>
      <c r="U32" s="4"/>
      <c r="V32" s="4"/>
      <c r="W32" s="4"/>
      <c r="X32" s="4"/>
      <c r="Y32" s="4"/>
      <c r="Z32" s="4"/>
      <c r="AA32" s="4"/>
      <c r="AB32" s="4"/>
      <c r="AC32" s="34">
        <f>B32+D32+F32+H32+J32+L32+N32+P32</f>
        <v>0</v>
      </c>
      <c r="AD32" s="62">
        <f>623.66/1000</f>
        <v>0.62366</v>
      </c>
      <c r="AE32" s="62">
        <f>AC32*AD32</f>
        <v>0</v>
      </c>
      <c r="AG32" s="34">
        <v>27</v>
      </c>
    </row>
    <row r="33" spans="1:33" ht="12.75">
      <c r="A33" s="2"/>
      <c r="B33" s="4"/>
      <c r="C33" s="34">
        <f>B33*AD33</f>
        <v>0</v>
      </c>
      <c r="D33" s="4"/>
      <c r="E33" s="34">
        <f>D33*AD33</f>
        <v>0</v>
      </c>
      <c r="F33" s="4"/>
      <c r="G33" s="34">
        <f>F33*AD33</f>
        <v>0</v>
      </c>
      <c r="H33" s="4"/>
      <c r="I33" s="34">
        <f>H33*AD33</f>
        <v>0</v>
      </c>
      <c r="J33" s="4"/>
      <c r="K33" s="34">
        <f>J33*AD33</f>
        <v>0</v>
      </c>
      <c r="L33" s="4"/>
      <c r="M33" s="34">
        <f>L33*AD33</f>
        <v>0</v>
      </c>
      <c r="O33" s="34">
        <f>N33*AD33</f>
        <v>0</v>
      </c>
      <c r="Q33" s="34">
        <f>P33*AD33</f>
        <v>0</v>
      </c>
      <c r="AC33" s="34">
        <f>B33+D33+F33+H33+J33+L33+N33+P33</f>
        <v>0</v>
      </c>
      <c r="AD33" s="62">
        <f>623.66/1000</f>
        <v>0.62366</v>
      </c>
      <c r="AE33" s="62">
        <f>AC33*AD33</f>
        <v>0</v>
      </c>
      <c r="AG33" s="34">
        <v>27</v>
      </c>
    </row>
    <row r="34" spans="1:33" ht="12.75">
      <c r="A34" s="4"/>
      <c r="B34" s="4"/>
      <c r="C34" s="34">
        <f>B34*AD34</f>
        <v>0</v>
      </c>
      <c r="D34" s="4"/>
      <c r="E34" s="34">
        <f>D34*AD34</f>
        <v>0</v>
      </c>
      <c r="F34" s="4"/>
      <c r="G34" s="34">
        <f>F34*AD34</f>
        <v>0</v>
      </c>
      <c r="H34" s="4"/>
      <c r="I34" s="34">
        <f>H34*AD34</f>
        <v>0</v>
      </c>
      <c r="J34" s="4"/>
      <c r="K34" s="34">
        <f>J34*AD34</f>
        <v>0</v>
      </c>
      <c r="L34" s="4"/>
      <c r="M34" s="34">
        <f>L34*AD34</f>
        <v>0</v>
      </c>
      <c r="O34" s="34">
        <f>N34*AD34</f>
        <v>0</v>
      </c>
      <c r="Q34" s="34">
        <f>P34*AD34</f>
        <v>0</v>
      </c>
      <c r="AC34" s="34">
        <f>B34+D34+F34+H34+J34+L34+N34+P34</f>
        <v>0</v>
      </c>
      <c r="AD34" s="62">
        <f>599.79/1000</f>
        <v>0.5997899999999999</v>
      </c>
      <c r="AE34" s="62">
        <f>AC34*AD34</f>
        <v>0</v>
      </c>
      <c r="AG34" s="34">
        <v>27</v>
      </c>
    </row>
    <row r="35" spans="1:33" ht="12.75">
      <c r="A35" s="4"/>
      <c r="B35" s="4"/>
      <c r="C35" s="34">
        <f>B35*AD35</f>
        <v>0</v>
      </c>
      <c r="D35" s="4"/>
      <c r="E35" s="34">
        <f>D35*AD35</f>
        <v>0</v>
      </c>
      <c r="F35" s="4"/>
      <c r="G35" s="34">
        <f>F35*AD35</f>
        <v>0</v>
      </c>
      <c r="H35" s="4"/>
      <c r="I35" s="34">
        <f>H35*AD35</f>
        <v>0</v>
      </c>
      <c r="J35" s="4"/>
      <c r="K35" s="34">
        <f>J35*AD35</f>
        <v>0</v>
      </c>
      <c r="L35" s="4"/>
      <c r="M35" s="34">
        <f>L35*AD35</f>
        <v>0</v>
      </c>
      <c r="O35" s="34">
        <f>N35*AD35</f>
        <v>0</v>
      </c>
      <c r="Q35" s="34">
        <f>P35*AD35</f>
        <v>0</v>
      </c>
      <c r="AC35" s="34">
        <f>B35+D35+F35+H35+J35+L35+N35+P35</f>
        <v>0</v>
      </c>
      <c r="AD35" s="62">
        <f>599.79/1000</f>
        <v>0.5997899999999999</v>
      </c>
      <c r="AE35" s="62">
        <f>AC35*AD35</f>
        <v>0</v>
      </c>
      <c r="AG35" s="34">
        <v>27</v>
      </c>
    </row>
    <row r="36" spans="1:31" ht="12.75">
      <c r="A36" s="4"/>
      <c r="B36" s="4"/>
      <c r="C36" s="34">
        <f>B36*AD36</f>
        <v>0</v>
      </c>
      <c r="D36" s="4"/>
      <c r="E36" s="34">
        <f>D36*AD36</f>
        <v>0</v>
      </c>
      <c r="F36" s="4"/>
      <c r="G36" s="34">
        <f>F36*AD36</f>
        <v>0</v>
      </c>
      <c r="H36" s="4"/>
      <c r="I36" s="34">
        <f>H36*AD36</f>
        <v>0</v>
      </c>
      <c r="J36" s="4"/>
      <c r="K36" s="34">
        <f>J36*AD36</f>
        <v>0</v>
      </c>
      <c r="L36" s="4"/>
      <c r="M36" s="34">
        <f>L36*AD36</f>
        <v>0</v>
      </c>
      <c r="O36" s="34">
        <f>N36*AD36</f>
        <v>0</v>
      </c>
      <c r="Q36" s="34">
        <f>P36*AD36</f>
        <v>0</v>
      </c>
      <c r="AC36" s="34">
        <f>B36+D36+F36+H36+J36+L36+N36+P36</f>
        <v>0</v>
      </c>
      <c r="AD36" s="34">
        <v>0.07063000000000001</v>
      </c>
      <c r="AE36" s="62">
        <f>AC36*AD36</f>
        <v>0</v>
      </c>
    </row>
    <row r="37" spans="1:31" ht="12.75">
      <c r="A37" s="4"/>
      <c r="B37" s="4"/>
      <c r="C37" s="34">
        <f>B37*AD37</f>
        <v>0</v>
      </c>
      <c r="D37" s="4"/>
      <c r="E37" s="34">
        <f>D37*AD37</f>
        <v>0</v>
      </c>
      <c r="F37" s="4"/>
      <c r="G37" s="34">
        <f>F37*AD37</f>
        <v>0</v>
      </c>
      <c r="H37" s="4"/>
      <c r="I37" s="34">
        <f>H37*AD37</f>
        <v>0</v>
      </c>
      <c r="J37" s="4"/>
      <c r="K37" s="34">
        <f>J37*AD37</f>
        <v>0</v>
      </c>
      <c r="L37" s="4"/>
      <c r="M37" s="34">
        <f>L37*AD37</f>
        <v>0</v>
      </c>
      <c r="O37" s="34">
        <f>N37*AD37</f>
        <v>0</v>
      </c>
      <c r="Q37" s="34">
        <f>P37*AD37</f>
        <v>0</v>
      </c>
      <c r="AC37" s="34">
        <f>B37+D37+F37+H37+J37+L37+N37+P37</f>
        <v>0</v>
      </c>
      <c r="AD37" s="34">
        <v>0.07063000000000001</v>
      </c>
      <c r="AE37" s="62">
        <f>AC37*AD37</f>
        <v>0</v>
      </c>
    </row>
    <row r="38" spans="1:45" ht="12.75">
      <c r="A38" s="4"/>
      <c r="B38" s="4"/>
      <c r="C38" s="34">
        <f>B38*AD38</f>
        <v>0</v>
      </c>
      <c r="D38" s="4"/>
      <c r="E38" s="34">
        <f>D38*AD38</f>
        <v>0</v>
      </c>
      <c r="F38" s="4"/>
      <c r="G38" s="34">
        <f>F38*AD38</f>
        <v>0</v>
      </c>
      <c r="H38" s="4"/>
      <c r="I38" s="34">
        <f>H38*AD38</f>
        <v>0</v>
      </c>
      <c r="J38" s="4"/>
      <c r="K38" s="34">
        <f>J38*AD38</f>
        <v>0</v>
      </c>
      <c r="L38" s="4"/>
      <c r="M38" s="34">
        <f>L38*AD38</f>
        <v>0</v>
      </c>
      <c r="O38" s="34">
        <f>N38*AD38</f>
        <v>0</v>
      </c>
      <c r="Q38" s="34">
        <f>P38*AD38</f>
        <v>0</v>
      </c>
      <c r="AC38" s="34">
        <f>B38+D38+F38+H38+J38+L38+N38+P38</f>
        <v>0</v>
      </c>
      <c r="AD38" s="34">
        <f>(693.63/600000)</f>
        <v>0.00115605</v>
      </c>
      <c r="AE38" s="62">
        <f>AC38*AD38</f>
        <v>0</v>
      </c>
      <c r="AS38" s="59"/>
    </row>
    <row r="39" spans="1:31" ht="12.75">
      <c r="A39"/>
      <c r="B39" s="4"/>
      <c r="C39" s="34">
        <f>B39*AD39</f>
        <v>0</v>
      </c>
      <c r="D39" s="4"/>
      <c r="E39" s="34">
        <f>D39*AD39</f>
        <v>0</v>
      </c>
      <c r="F39" s="4"/>
      <c r="G39" s="34">
        <f>F39*AD39</f>
        <v>0</v>
      </c>
      <c r="H39" s="4"/>
      <c r="I39" s="34">
        <f>H39*AD39</f>
        <v>0</v>
      </c>
      <c r="J39" s="4"/>
      <c r="K39" s="34">
        <f>J39*AD39</f>
        <v>0</v>
      </c>
      <c r="L39" s="4"/>
      <c r="M39" s="34">
        <f>L39*AD39</f>
        <v>0</v>
      </c>
      <c r="O39" s="34">
        <f>N39*AD39</f>
        <v>0</v>
      </c>
      <c r="Q39" s="34">
        <f>P39*AD39</f>
        <v>0</v>
      </c>
      <c r="AC39" s="34">
        <f>B39+D39+F39+H39+J39+L39+N39+P39</f>
        <v>0</v>
      </c>
      <c r="AD39" s="34">
        <f>(693.63/600000)</f>
        <v>0.00115605</v>
      </c>
      <c r="AE39" s="62">
        <f>AC39*AD39</f>
        <v>0</v>
      </c>
    </row>
    <row r="40" spans="1:31" ht="12.75">
      <c r="A40"/>
      <c r="B40" s="4"/>
      <c r="C40" s="34">
        <f>B40*AD40</f>
        <v>0</v>
      </c>
      <c r="D40" s="4"/>
      <c r="E40" s="34">
        <f>D40*AD40</f>
        <v>0</v>
      </c>
      <c r="F40" s="4"/>
      <c r="G40" s="34">
        <f>F40*AD40</f>
        <v>0</v>
      </c>
      <c r="H40" s="4"/>
      <c r="I40" s="34">
        <f>H40*AD40</f>
        <v>0</v>
      </c>
      <c r="J40" s="4"/>
      <c r="K40" s="34">
        <f>J40*AD40</f>
        <v>0</v>
      </c>
      <c r="L40" s="4"/>
      <c r="M40" s="34">
        <f>L40*AD40</f>
        <v>0</v>
      </c>
      <c r="O40" s="34">
        <f>N40*AD40</f>
        <v>0</v>
      </c>
      <c r="Q40" s="34">
        <f>P40*AD40</f>
        <v>0</v>
      </c>
      <c r="AC40" s="34">
        <f>B40+D40+F40+H40+J40+L40+N40+P40</f>
        <v>0</v>
      </c>
      <c r="AD40" s="34">
        <f>(693.63/600000)</f>
        <v>0.00115605</v>
      </c>
      <c r="AE40" s="62">
        <f>AC40*AD40</f>
        <v>0</v>
      </c>
    </row>
    <row r="41" spans="1:31" ht="12.75">
      <c r="A41"/>
      <c r="B41" s="4"/>
      <c r="C41" s="34">
        <f>B41*AD41</f>
        <v>0</v>
      </c>
      <c r="D41" s="4"/>
      <c r="E41" s="34">
        <f>D41*AD41</f>
        <v>0</v>
      </c>
      <c r="F41" s="4"/>
      <c r="G41" s="34">
        <f>F41*AD41</f>
        <v>0</v>
      </c>
      <c r="H41" s="4"/>
      <c r="I41" s="34">
        <f>H41*AD41</f>
        <v>0</v>
      </c>
      <c r="J41" s="4"/>
      <c r="K41" s="34">
        <f>J41*AD41</f>
        <v>0</v>
      </c>
      <c r="L41" s="4"/>
      <c r="M41" s="34">
        <f>L41*AD41</f>
        <v>0</v>
      </c>
      <c r="O41" s="34">
        <f>N41*AD41</f>
        <v>0</v>
      </c>
      <c r="Q41" s="34">
        <f>P41*AD41</f>
        <v>0</v>
      </c>
      <c r="AC41" s="34">
        <f>B41+D41+F41+H41+J41+L41+N41+P41</f>
        <v>0</v>
      </c>
      <c r="AD41" s="34">
        <f>(693.63/600000)</f>
        <v>0.00115605</v>
      </c>
      <c r="AE41" s="62">
        <f>AC41*AD41</f>
        <v>0</v>
      </c>
    </row>
    <row r="42" spans="1:31" ht="12.75">
      <c r="A42"/>
      <c r="B42" s="4"/>
      <c r="C42" s="34">
        <f>B42*AD42</f>
        <v>0</v>
      </c>
      <c r="D42" s="4"/>
      <c r="E42" s="34">
        <f>D42*AD42</f>
        <v>0</v>
      </c>
      <c r="F42" s="4"/>
      <c r="G42" s="34">
        <f>F42*AD42</f>
        <v>0</v>
      </c>
      <c r="H42" s="4"/>
      <c r="I42" s="34">
        <f>H42*AD42</f>
        <v>0</v>
      </c>
      <c r="J42" s="4"/>
      <c r="K42" s="34">
        <f>J42*AD42</f>
        <v>0</v>
      </c>
      <c r="L42" s="4"/>
      <c r="M42" s="34">
        <f>L42*AD42</f>
        <v>0</v>
      </c>
      <c r="O42" s="34">
        <f>N42*AD42</f>
        <v>0</v>
      </c>
      <c r="Q42" s="34">
        <f>P42*AD42</f>
        <v>0</v>
      </c>
      <c r="AC42" s="34">
        <f>B42+D42+F42+H42+J42+L42+N42+P42</f>
        <v>0</v>
      </c>
      <c r="AD42" s="34">
        <f>(693.63/600000)</f>
        <v>0.00115605</v>
      </c>
      <c r="AE42" s="62">
        <f>AC42*AD42</f>
        <v>0</v>
      </c>
    </row>
    <row r="43" spans="1:31" ht="12.75">
      <c r="A43"/>
      <c r="B43" s="4"/>
      <c r="C43" s="34">
        <f>B43*AD43</f>
        <v>0</v>
      </c>
      <c r="D43" s="4"/>
      <c r="E43" s="34">
        <f>D43*AD43</f>
        <v>0</v>
      </c>
      <c r="F43" s="4"/>
      <c r="G43" s="34">
        <f>F43*AD43</f>
        <v>0</v>
      </c>
      <c r="H43" s="4"/>
      <c r="I43" s="34">
        <f>H43*AD43</f>
        <v>0</v>
      </c>
      <c r="K43" s="34">
        <f>J43*AD43</f>
        <v>0</v>
      </c>
      <c r="M43" s="34">
        <f>L43*AD43</f>
        <v>0</v>
      </c>
      <c r="O43" s="34">
        <f>N43*AD43</f>
        <v>0</v>
      </c>
      <c r="Q43" s="34">
        <f>P43*AD43</f>
        <v>0</v>
      </c>
      <c r="AC43" s="34">
        <f>B43+D43+F43+H43+J43+L43+N43+P43</f>
        <v>0</v>
      </c>
      <c r="AD43" s="34">
        <f>(693.63/600000)</f>
        <v>0.00115605</v>
      </c>
      <c r="AE43" s="62">
        <f>AC43*AD43</f>
        <v>0</v>
      </c>
    </row>
    <row r="44" spans="3:31" ht="12.75">
      <c r="C44" s="34">
        <f>B44*AD44</f>
        <v>0</v>
      </c>
      <c r="E44" s="34">
        <f>D44*AD44</f>
        <v>0</v>
      </c>
      <c r="G44" s="34">
        <f>F44*AD44</f>
        <v>0</v>
      </c>
      <c r="I44" s="34">
        <f>H44*AD44</f>
        <v>0</v>
      </c>
      <c r="K44" s="34">
        <f>J44*AD44</f>
        <v>0</v>
      </c>
      <c r="M44" s="34">
        <f>L44*AD44</f>
        <v>0</v>
      </c>
      <c r="O44" s="34">
        <f>N44*AD44</f>
        <v>0</v>
      </c>
      <c r="Q44" s="34">
        <f>P44*AD44</f>
        <v>0</v>
      </c>
      <c r="AC44" s="34">
        <f>B44+D44+F44+H44+J44+L44+N44+P44</f>
        <v>0</v>
      </c>
      <c r="AD44" s="34">
        <f>(693.63/600000)</f>
        <v>0.00115605</v>
      </c>
      <c r="AE44" s="62">
        <f>AC44*AD44</f>
        <v>0</v>
      </c>
    </row>
    <row r="45" spans="3:31" ht="12.75">
      <c r="C45" s="34">
        <f>B45*AD45</f>
        <v>0</v>
      </c>
      <c r="E45" s="34">
        <f>D45*AD45</f>
        <v>0</v>
      </c>
      <c r="G45" s="34">
        <f>F45*AD45</f>
        <v>0</v>
      </c>
      <c r="I45" s="34">
        <f>H45*AD45</f>
        <v>0</v>
      </c>
      <c r="K45" s="34">
        <f>J45*AD45</f>
        <v>0</v>
      </c>
      <c r="M45" s="34">
        <f>L45*AD45</f>
        <v>0</v>
      </c>
      <c r="O45" s="34">
        <f>N45*AD45</f>
        <v>0</v>
      </c>
      <c r="Q45" s="34">
        <f>P45*AD45</f>
        <v>0</v>
      </c>
      <c r="AC45" s="34">
        <f>B45+D45+F45+H45+J45+L45+N45+P45</f>
        <v>0</v>
      </c>
      <c r="AD45" s="34">
        <f>(693.63/600000)</f>
        <v>0.00115605</v>
      </c>
      <c r="AE45" s="62">
        <f>AC45*AD45</f>
        <v>0</v>
      </c>
    </row>
    <row r="46" spans="3:31" ht="12.75">
      <c r="C46" s="34">
        <f>B46*AD46</f>
        <v>0</v>
      </c>
      <c r="E46" s="34">
        <f>D46*AD46</f>
        <v>0</v>
      </c>
      <c r="G46" s="34">
        <f>F46*AD46</f>
        <v>0</v>
      </c>
      <c r="I46" s="34">
        <f>H46*AD46</f>
        <v>0</v>
      </c>
      <c r="K46" s="34">
        <f>J46*AD46</f>
        <v>0</v>
      </c>
      <c r="M46" s="34">
        <f>L46*AD46</f>
        <v>0</v>
      </c>
      <c r="O46" s="34">
        <f>N46*AD46</f>
        <v>0</v>
      </c>
      <c r="Q46" s="34">
        <f>P46*AD46</f>
        <v>0</v>
      </c>
      <c r="AC46" s="34">
        <f>B46+D46+F46+H46+J46+L46+N46+P46</f>
        <v>0</v>
      </c>
      <c r="AD46" s="34">
        <f>(693.63/600000)</f>
        <v>0.00115605</v>
      </c>
      <c r="AE46" s="62">
        <f>AC46*AD46</f>
        <v>0</v>
      </c>
    </row>
    <row r="47" spans="3:31" ht="12.75">
      <c r="C47" s="34">
        <f>B47*AD47</f>
        <v>0</v>
      </c>
      <c r="E47" s="34">
        <f>D47*AD47</f>
        <v>0</v>
      </c>
      <c r="G47" s="34">
        <f>F47*AD47</f>
        <v>0</v>
      </c>
      <c r="I47" s="34">
        <f>H47*AD47</f>
        <v>0</v>
      </c>
      <c r="K47" s="34">
        <f>J47*AD47</f>
        <v>0</v>
      </c>
      <c r="M47" s="34">
        <f>L47*AD47</f>
        <v>0</v>
      </c>
      <c r="O47" s="34">
        <f>N47*AD47</f>
        <v>0</v>
      </c>
      <c r="Q47" s="34">
        <f>P47*AD47</f>
        <v>0</v>
      </c>
      <c r="AC47" s="34">
        <f>B47+D47+F47+H47+J47+L47+N47+P47</f>
        <v>0</v>
      </c>
      <c r="AD47" s="34">
        <f>(693.63/600000)</f>
        <v>0.00115605</v>
      </c>
      <c r="AE47" s="40">
        <f>AC47*AD47</f>
        <v>0</v>
      </c>
    </row>
    <row r="48" spans="3:31" ht="12.75">
      <c r="C48" s="34">
        <f>B48*AD48</f>
        <v>0</v>
      </c>
      <c r="E48" s="34">
        <f>D48*AD48</f>
        <v>0</v>
      </c>
      <c r="G48" s="34">
        <f>F48*AD48</f>
        <v>0</v>
      </c>
      <c r="I48" s="34">
        <f>H48*AD48</f>
        <v>0</v>
      </c>
      <c r="K48" s="34">
        <f>J48*AD48</f>
        <v>0</v>
      </c>
      <c r="M48" s="34">
        <f>L48*AD48</f>
        <v>0</v>
      </c>
      <c r="O48" s="34">
        <f>N48*AD48</f>
        <v>0</v>
      </c>
      <c r="Q48" s="34">
        <f>P48*AD48</f>
        <v>0</v>
      </c>
      <c r="AC48" s="34">
        <f>B48+D48+F48+H48+J48+L48+N48+P48</f>
        <v>0</v>
      </c>
      <c r="AD48" s="34">
        <f>(693.63/600000)</f>
        <v>0.00115605</v>
      </c>
      <c r="AE48" s="40">
        <f>AC48*AD48</f>
        <v>0</v>
      </c>
    </row>
    <row r="49" spans="3:31" ht="12.75">
      <c r="C49" s="34">
        <f>B49*AD49</f>
        <v>0</v>
      </c>
      <c r="E49" s="34">
        <f>D49*AD49</f>
        <v>0</v>
      </c>
      <c r="G49" s="34">
        <f>F49*AD49</f>
        <v>0</v>
      </c>
      <c r="I49" s="34">
        <f>H49*AD49</f>
        <v>0</v>
      </c>
      <c r="K49" s="34">
        <f>J49*AD49</f>
        <v>0</v>
      </c>
      <c r="M49" s="34">
        <f>L49*AD49</f>
        <v>0</v>
      </c>
      <c r="O49" s="34">
        <f>N49*AD49</f>
        <v>0</v>
      </c>
      <c r="Q49" s="34">
        <f>P49*AD49</f>
        <v>0</v>
      </c>
      <c r="AC49" s="34">
        <f>B49+D49+F49+H49+J49+L49+N49</f>
        <v>0</v>
      </c>
      <c r="AD49" s="34">
        <v>0.0061</v>
      </c>
      <c r="AE49" s="40">
        <f>AC49*AD49</f>
        <v>0</v>
      </c>
    </row>
    <row r="50" spans="3:31" ht="12.75">
      <c r="C50" s="34">
        <f>B50*AD50</f>
        <v>0</v>
      </c>
      <c r="E50" s="34">
        <f>D50*AD50</f>
        <v>0</v>
      </c>
      <c r="G50" s="34">
        <f>F50*AD50</f>
        <v>0</v>
      </c>
      <c r="I50" s="34">
        <f>H50*AD50</f>
        <v>0</v>
      </c>
      <c r="K50" s="34">
        <f>J50*AD50</f>
        <v>0</v>
      </c>
      <c r="M50" s="34">
        <f>L50*AD50</f>
        <v>0</v>
      </c>
      <c r="O50" s="34">
        <f>N50*AD50</f>
        <v>0</v>
      </c>
      <c r="Q50" s="34">
        <f>P50*AD50</f>
        <v>0</v>
      </c>
      <c r="AC50" s="34">
        <f>B50+D50+F50+H50+J50+L50+N50</f>
        <v>0</v>
      </c>
      <c r="AD50" s="62">
        <f>539.17/3000000</f>
        <v>0.0001797233333333333</v>
      </c>
      <c r="AE50" s="40">
        <f>AC50*AD50</f>
        <v>0</v>
      </c>
    </row>
    <row r="51" spans="3:31" ht="12.75">
      <c r="C51" s="34">
        <f>B51*AD51</f>
        <v>0</v>
      </c>
      <c r="E51" s="34">
        <f>D51*AD51</f>
        <v>0</v>
      </c>
      <c r="G51" s="34">
        <f>F51*AD51</f>
        <v>0</v>
      </c>
      <c r="I51" s="34">
        <f>H51*AD51</f>
        <v>0</v>
      </c>
      <c r="K51" s="34">
        <f>J51*AD51</f>
        <v>0</v>
      </c>
      <c r="M51" s="34">
        <f>L51*AD51</f>
        <v>0</v>
      </c>
      <c r="O51" s="34">
        <f>N51*AD51</f>
        <v>0</v>
      </c>
      <c r="Q51" s="34">
        <f>P51*AD51</f>
        <v>0</v>
      </c>
      <c r="AC51" s="34">
        <f>B51+D51+F51+H51+J51+L51+N51</f>
        <v>0</v>
      </c>
      <c r="AE51" s="40">
        <f>AC51*AD51</f>
        <v>0</v>
      </c>
    </row>
    <row r="52" spans="3:31" ht="12.75">
      <c r="C52" s="34">
        <f>B52*AD52</f>
        <v>0</v>
      </c>
      <c r="E52" s="34">
        <f>D52*AD52</f>
        <v>0</v>
      </c>
      <c r="G52" s="34">
        <f>F52*AD52</f>
        <v>0</v>
      </c>
      <c r="I52" s="34">
        <f>H52*AD52</f>
        <v>0</v>
      </c>
      <c r="K52" s="34">
        <f>J52*AD52</f>
        <v>0</v>
      </c>
      <c r="M52" s="34">
        <f>L52*AD52</f>
        <v>0</v>
      </c>
      <c r="O52" s="34">
        <f>N52*AD52</f>
        <v>0</v>
      </c>
      <c r="Q52" s="34">
        <f>P52*AD52</f>
        <v>0</v>
      </c>
      <c r="AC52" s="34">
        <f>B52+D52+F52+H52+J52+L52+N52</f>
        <v>0</v>
      </c>
      <c r="AE52" s="40">
        <f>AC52*AD52</f>
        <v>0</v>
      </c>
    </row>
    <row r="53" spans="3:31" ht="12.75">
      <c r="C53" s="34">
        <f>B53*AD53</f>
        <v>0</v>
      </c>
      <c r="E53" s="34">
        <f>D53*AD53</f>
        <v>0</v>
      </c>
      <c r="G53" s="34">
        <f>F53*AD53</f>
        <v>0</v>
      </c>
      <c r="I53" s="34">
        <f>H53*AD53</f>
        <v>0</v>
      </c>
      <c r="K53" s="34">
        <f>J53*AD53</f>
        <v>0</v>
      </c>
      <c r="M53" s="34">
        <f>L53*AD53</f>
        <v>0</v>
      </c>
      <c r="O53" s="34">
        <f>N53*AD53</f>
        <v>0</v>
      </c>
      <c r="Q53" s="34">
        <f>P53*AD53</f>
        <v>0</v>
      </c>
      <c r="AC53" s="34">
        <f>B53+D53+F53+H53+J53+L53+N53</f>
        <v>0</v>
      </c>
      <c r="AE53" s="40">
        <f>AC53*AD53</f>
        <v>0</v>
      </c>
    </row>
    <row r="54" spans="3:31" ht="12.75">
      <c r="C54" s="34">
        <f>B54*AD54</f>
        <v>0</v>
      </c>
      <c r="E54" s="34">
        <f>D54*AD54</f>
        <v>0</v>
      </c>
      <c r="G54" s="34">
        <f>F54*AD54</f>
        <v>0</v>
      </c>
      <c r="I54" s="34">
        <f>H54*AD54</f>
        <v>0</v>
      </c>
      <c r="K54" s="34">
        <f>J54*AD54</f>
        <v>0</v>
      </c>
      <c r="M54" s="34">
        <f>L54*AD54</f>
        <v>0</v>
      </c>
      <c r="O54" s="34">
        <f>N54*AD54</f>
        <v>0</v>
      </c>
      <c r="Q54" s="34">
        <f>P54*AD54</f>
        <v>0</v>
      </c>
      <c r="AC54" s="34">
        <f>B54+D54+F54+H54+J54+L54+N54</f>
        <v>0</v>
      </c>
      <c r="AD54" s="34">
        <v>0.005925</v>
      </c>
      <c r="AE54" s="40">
        <f>AC54*AD54</f>
        <v>0</v>
      </c>
    </row>
    <row r="55" spans="3:31" ht="12.75">
      <c r="C55" s="34">
        <f>B55*AD55</f>
        <v>0</v>
      </c>
      <c r="E55" s="34">
        <f>D55*AD55</f>
        <v>0</v>
      </c>
      <c r="G55" s="34">
        <f>F55*AD55</f>
        <v>0</v>
      </c>
      <c r="I55" s="34">
        <f>H55*AD55</f>
        <v>0</v>
      </c>
      <c r="K55" s="34">
        <f>J55*AD55</f>
        <v>0</v>
      </c>
      <c r="M55" s="34">
        <f>L55*AD55</f>
        <v>0</v>
      </c>
      <c r="O55" s="34">
        <f>N55*AD55</f>
        <v>0</v>
      </c>
      <c r="Q55" s="34">
        <f>P55*AD55</f>
        <v>0</v>
      </c>
      <c r="AC55" s="34">
        <f>B55+D55+F55+H55+J55+L55+N55</f>
        <v>0</v>
      </c>
      <c r="AE55" s="40">
        <f>AC55*AD55</f>
        <v>0</v>
      </c>
    </row>
    <row r="56" spans="3:31" ht="12.75">
      <c r="C56" s="34">
        <f>B56*AD56</f>
        <v>0</v>
      </c>
      <c r="E56" s="34">
        <f>D56*AD56</f>
        <v>0</v>
      </c>
      <c r="G56" s="34">
        <f>F56*AD56</f>
        <v>0</v>
      </c>
      <c r="I56" s="34">
        <f>H56*AD56</f>
        <v>0</v>
      </c>
      <c r="K56" s="34">
        <f>J56*AD56</f>
        <v>0</v>
      </c>
      <c r="M56" s="34">
        <f>L56*AD56</f>
        <v>0</v>
      </c>
      <c r="O56" s="34">
        <f>N56*AD56</f>
        <v>0</v>
      </c>
      <c r="Q56" s="34">
        <f>P56*AD56</f>
        <v>0</v>
      </c>
      <c r="AC56" s="34">
        <f>B56+D56+F56+H56+J56+L56+N56</f>
        <v>0</v>
      </c>
      <c r="AE56" s="40">
        <f>AC56*AD56</f>
        <v>0</v>
      </c>
    </row>
    <row r="57" spans="3:31" ht="12.75">
      <c r="C57" s="34">
        <f>B57*AD57</f>
        <v>0</v>
      </c>
      <c r="E57" s="34">
        <f>D57*AD57</f>
        <v>0</v>
      </c>
      <c r="G57" s="34">
        <f>F57*AD57</f>
        <v>0</v>
      </c>
      <c r="I57" s="34">
        <f>H57*AD57</f>
        <v>0</v>
      </c>
      <c r="K57" s="34">
        <f>J57*AD57</f>
        <v>0</v>
      </c>
      <c r="M57" s="34">
        <f>L57*AD57</f>
        <v>0</v>
      </c>
      <c r="O57" s="34">
        <f>N57*AD57</f>
        <v>0</v>
      </c>
      <c r="Q57" s="34">
        <f>P57*AD57</f>
        <v>0</v>
      </c>
      <c r="AC57" s="34">
        <f>B57+D57+F57+H57+J57+L57+N57</f>
        <v>0</v>
      </c>
      <c r="AE57" s="40">
        <f>AC57*AD57</f>
        <v>0</v>
      </c>
    </row>
    <row r="58" spans="3:29" ht="12.75">
      <c r="C58" s="34">
        <f>B58*AD58</f>
        <v>0</v>
      </c>
      <c r="E58" s="34">
        <f>D58*AD58</f>
        <v>0</v>
      </c>
      <c r="G58" s="34">
        <f>F58*AD58</f>
        <v>0</v>
      </c>
      <c r="I58" s="34">
        <f>H58*AD58</f>
        <v>0</v>
      </c>
      <c r="K58" s="34">
        <f>J58*AD58</f>
        <v>0</v>
      </c>
      <c r="M58" s="34">
        <f>L58*AD58</f>
        <v>0</v>
      </c>
      <c r="O58" s="34">
        <f>N58*AD58</f>
        <v>0</v>
      </c>
      <c r="Q58" s="34">
        <f>P58*AD58</f>
        <v>0</v>
      </c>
      <c r="AC58" s="34">
        <f>B58+D58+F58+H58+J58+L58+N58</f>
        <v>0</v>
      </c>
    </row>
    <row r="59" spans="3:29" ht="12.75">
      <c r="C59" s="34">
        <f>B59*AD59</f>
        <v>0</v>
      </c>
      <c r="E59" s="34">
        <f>D59*AD59</f>
        <v>0</v>
      </c>
      <c r="G59" s="34">
        <f>F59*AD59</f>
        <v>0</v>
      </c>
      <c r="I59" s="34">
        <f>H59*AD59</f>
        <v>0</v>
      </c>
      <c r="K59" s="34">
        <f>J59*AD59</f>
        <v>0</v>
      </c>
      <c r="M59" s="34">
        <f>L59*AD59</f>
        <v>0</v>
      </c>
      <c r="O59" s="34">
        <f>N59*AD59</f>
        <v>0</v>
      </c>
      <c r="Q59" s="34">
        <f>P59*AD59</f>
        <v>0</v>
      </c>
      <c r="AC59" s="34">
        <f>B59+D59+F59+H59+J59+L59+N59</f>
        <v>0</v>
      </c>
    </row>
    <row r="60" spans="3:29" ht="12.75">
      <c r="C60" s="34">
        <f>B60*AD60</f>
        <v>0</v>
      </c>
      <c r="E60" s="34">
        <f>D60*AD60</f>
        <v>0</v>
      </c>
      <c r="G60" s="34">
        <f>F60*AD60</f>
        <v>0</v>
      </c>
      <c r="I60" s="34">
        <f>H60*AD60</f>
        <v>0</v>
      </c>
      <c r="K60" s="34">
        <f>J60*AD60</f>
        <v>0</v>
      </c>
      <c r="M60" s="34">
        <f>L60*AD60</f>
        <v>0</v>
      </c>
      <c r="O60" s="34">
        <f>N60*AD60</f>
        <v>0</v>
      </c>
      <c r="AC60" s="34">
        <f>B60+D60+F60+H60+J60+L60+N60</f>
        <v>0</v>
      </c>
    </row>
    <row r="61" spans="3:29" ht="12.75">
      <c r="C61" s="34">
        <f>B61*AD61</f>
        <v>0</v>
      </c>
      <c r="E61" s="34">
        <f>D61*AD61</f>
        <v>0</v>
      </c>
      <c r="G61" s="34">
        <f>F61*AD61</f>
        <v>0</v>
      </c>
      <c r="I61" s="34">
        <f>H61*AD61</f>
        <v>0</v>
      </c>
      <c r="K61" s="34">
        <f>J61*AD61</f>
        <v>0</v>
      </c>
      <c r="M61" s="34">
        <f>L61*AD61</f>
        <v>0</v>
      </c>
      <c r="O61" s="34">
        <f>N61*AD61</f>
        <v>0</v>
      </c>
      <c r="AC61" s="34">
        <f>B61+D61+F61+H61+J61+L61+N61</f>
        <v>0</v>
      </c>
    </row>
    <row r="62" spans="3:29" ht="12.75">
      <c r="C62" s="34">
        <f>B62*AD62</f>
        <v>0</v>
      </c>
      <c r="E62" s="34">
        <f>D62*AD62</f>
        <v>0</v>
      </c>
      <c r="G62" s="34">
        <f>F62*AD62</f>
        <v>0</v>
      </c>
      <c r="I62" s="34">
        <f>H62*AD62</f>
        <v>0</v>
      </c>
      <c r="K62" s="34">
        <f>J62*AD62</f>
        <v>0</v>
      </c>
      <c r="M62" s="34">
        <f>L62*AD62</f>
        <v>0</v>
      </c>
      <c r="AC62" s="34">
        <f>B62+D62+F62+H62+J62+L62+N62</f>
        <v>0</v>
      </c>
    </row>
    <row r="63" spans="3:29" ht="12.75">
      <c r="C63" s="34">
        <f>B63*AD63</f>
        <v>0</v>
      </c>
      <c r="E63" s="34">
        <f>D63*AD63</f>
        <v>0</v>
      </c>
      <c r="G63" s="34">
        <f>F63*AD63</f>
        <v>0</v>
      </c>
      <c r="I63" s="34">
        <f>H63*AD63</f>
        <v>0</v>
      </c>
      <c r="K63" s="34">
        <f>J63*AD63</f>
        <v>0</v>
      </c>
      <c r="M63" s="34">
        <f>L63*AD63</f>
        <v>0</v>
      </c>
      <c r="AC63" s="34">
        <f>B63+D63+F63+H63+J63+L63+N63</f>
        <v>0</v>
      </c>
    </row>
    <row r="64" spans="3:29" ht="12.75">
      <c r="C64" s="34">
        <f>B64*AD64</f>
        <v>0</v>
      </c>
      <c r="E64" s="34">
        <f>D64*AD64</f>
        <v>0</v>
      </c>
      <c r="G64" s="34">
        <f>F64*AD64</f>
        <v>0</v>
      </c>
      <c r="I64" s="34">
        <f>H64*AD64</f>
        <v>0</v>
      </c>
      <c r="K64" s="34">
        <f>J64*AD64</f>
        <v>0</v>
      </c>
      <c r="M64" s="34">
        <f>L64*AD64</f>
        <v>0</v>
      </c>
      <c r="AC64" s="34">
        <f>B64+D64+F64+H64+J64+L64+N64</f>
        <v>0</v>
      </c>
    </row>
    <row r="65" spans="3:29" ht="12.75">
      <c r="C65" s="34">
        <f>B65*AD65</f>
        <v>0</v>
      </c>
      <c r="E65" s="34">
        <f>D65*AD65</f>
        <v>0</v>
      </c>
      <c r="G65" s="34">
        <f>F65*AD65</f>
        <v>0</v>
      </c>
      <c r="I65" s="34">
        <f>H65*AD65</f>
        <v>0</v>
      </c>
      <c r="K65" s="34">
        <f>J65*AD65</f>
        <v>0</v>
      </c>
      <c r="M65" s="34">
        <f>L65*AD65</f>
        <v>0</v>
      </c>
      <c r="AC65" s="34">
        <f>B65+D65+F65+H65+J65+L65+N65</f>
        <v>0</v>
      </c>
    </row>
    <row r="66" spans="3:29" ht="12.75">
      <c r="C66" s="34">
        <f>B66*AD66</f>
        <v>0</v>
      </c>
      <c r="E66" s="34">
        <f>D66*AD66</f>
        <v>0</v>
      </c>
      <c r="G66" s="34">
        <f>F66*AD66</f>
        <v>0</v>
      </c>
      <c r="I66" s="34">
        <f>H66*AD66</f>
        <v>0</v>
      </c>
      <c r="K66" s="34">
        <f>J66*AD66</f>
        <v>0</v>
      </c>
      <c r="M66" s="34">
        <f>L66*AD66</f>
        <v>0</v>
      </c>
      <c r="AC66" s="34">
        <f>B66+D66+F66+H66+J66+L66+N66</f>
        <v>0</v>
      </c>
    </row>
    <row r="67" spans="3:29" ht="12.75">
      <c r="C67" s="34">
        <f>B67*AD67</f>
        <v>0</v>
      </c>
      <c r="E67" s="34">
        <f>D67*AD67</f>
        <v>0</v>
      </c>
      <c r="G67" s="34">
        <f>F67*AD67</f>
        <v>0</v>
      </c>
      <c r="I67" s="34">
        <f>H67*AD67</f>
        <v>0</v>
      </c>
      <c r="K67" s="34">
        <f>J67*AD67</f>
        <v>0</v>
      </c>
      <c r="M67" s="34">
        <f>L67*AD67</f>
        <v>0</v>
      </c>
      <c r="AC67" s="34">
        <f>B67+D67+F67+H67+J67+L67+N67</f>
        <v>0</v>
      </c>
    </row>
    <row r="68" spans="3:29" ht="12.75">
      <c r="C68" s="34">
        <f>B68*AD68</f>
        <v>0</v>
      </c>
      <c r="E68" s="34">
        <f>D68*AD68</f>
        <v>0</v>
      </c>
      <c r="G68" s="34">
        <f>F68*AD68</f>
        <v>0</v>
      </c>
      <c r="I68" s="34">
        <f>H68*AD68</f>
        <v>0</v>
      </c>
      <c r="K68" s="34">
        <f>J68*AD68</f>
        <v>0</v>
      </c>
      <c r="M68" s="34">
        <f>L68*AD68</f>
        <v>0</v>
      </c>
      <c r="AC68" s="34">
        <f>B68+D68+F68+H68+J68+L68+N68</f>
        <v>0</v>
      </c>
    </row>
    <row r="69" spans="3:29" ht="12.75">
      <c r="C69" s="34">
        <f>B69*AD69</f>
        <v>0</v>
      </c>
      <c r="E69" s="34">
        <f>D69*AD69</f>
        <v>0</v>
      </c>
      <c r="G69" s="34">
        <f>F69*AD69</f>
        <v>0</v>
      </c>
      <c r="I69" s="34">
        <f>H69*AD69</f>
        <v>0</v>
      </c>
      <c r="K69" s="34">
        <f>J69*AD69</f>
        <v>0</v>
      </c>
      <c r="M69" s="34">
        <f>L69*AD69</f>
        <v>0</v>
      </c>
      <c r="AC69" s="34">
        <f>B69+D69+F69+H69+J69+L69+N69</f>
        <v>0</v>
      </c>
    </row>
    <row r="70" spans="3:29" ht="12.75">
      <c r="C70" s="34">
        <f>B70*AD70</f>
        <v>0</v>
      </c>
      <c r="E70" s="34">
        <f>D70*AD70</f>
        <v>0</v>
      </c>
      <c r="G70" s="34">
        <f>F70*AD70</f>
        <v>0</v>
      </c>
      <c r="I70" s="34">
        <f>H70*AD70</f>
        <v>0</v>
      </c>
      <c r="K70" s="34">
        <f>J70*AD70</f>
        <v>0</v>
      </c>
      <c r="M70" s="34">
        <f>L70*AD70</f>
        <v>0</v>
      </c>
      <c r="AC70" s="34">
        <f>B70+D70+F70+H70+J70+L70+N70</f>
        <v>0</v>
      </c>
    </row>
    <row r="71" spans="3:29" ht="12.75">
      <c r="C71" s="34">
        <f>B71*AD71</f>
        <v>0</v>
      </c>
      <c r="E71" s="34">
        <f>D71*AD71</f>
        <v>0</v>
      </c>
      <c r="G71" s="34">
        <f>F71*AD71</f>
        <v>0</v>
      </c>
      <c r="I71" s="34">
        <f>H71*AD71</f>
        <v>0</v>
      </c>
      <c r="K71" s="34">
        <f>J71*AD71</f>
        <v>0</v>
      </c>
      <c r="M71" s="34">
        <f>L71*AD71</f>
        <v>0</v>
      </c>
      <c r="AC71" s="34">
        <f>B71+D71+F71+H71+J71+L71+N71</f>
        <v>0</v>
      </c>
    </row>
    <row r="72" spans="3:29" ht="12.75">
      <c r="C72" s="34">
        <f>B72*AD72</f>
        <v>0</v>
      </c>
      <c r="E72" s="34">
        <f>D72*AD72</f>
        <v>0</v>
      </c>
      <c r="G72" s="34">
        <f>F72*AD72</f>
        <v>0</v>
      </c>
      <c r="I72" s="34">
        <f>H72*AD72</f>
        <v>0</v>
      </c>
      <c r="K72" s="34">
        <f>J72*AD72</f>
        <v>0</v>
      </c>
      <c r="M72" s="34">
        <f>L72*AD72</f>
        <v>0</v>
      </c>
      <c r="AC72" s="34">
        <f>B72+D72+F72+H72+J72+L72+N72</f>
        <v>0</v>
      </c>
    </row>
    <row r="73" spans="3:29" ht="12.75">
      <c r="C73" s="34">
        <f>B73*AD73</f>
        <v>0</v>
      </c>
      <c r="E73" s="34">
        <f>D73*AD73</f>
        <v>0</v>
      </c>
      <c r="G73" s="34">
        <f>F73*AD73</f>
        <v>0</v>
      </c>
      <c r="I73" s="34">
        <f>H73*AD73</f>
        <v>0</v>
      </c>
      <c r="M73" s="34">
        <f>L73*AD73</f>
        <v>0</v>
      </c>
      <c r="AC73" s="34">
        <f>B73+D73+F73+H73+J73+L73+N73</f>
        <v>0</v>
      </c>
    </row>
    <row r="74" spans="3:29" ht="12.75">
      <c r="C74" s="34">
        <f>B74*AD74</f>
        <v>0</v>
      </c>
      <c r="E74" s="34">
        <f>D74*AD74</f>
        <v>0</v>
      </c>
      <c r="G74" s="34">
        <f>F74*AD74</f>
        <v>0</v>
      </c>
      <c r="I74" s="34">
        <f>H74*AD74</f>
        <v>0</v>
      </c>
      <c r="M74" s="34">
        <f>L74*AD74</f>
        <v>0</v>
      </c>
      <c r="AC74" s="34">
        <f>B74+D74+F74+H74+J74+L74+N74</f>
        <v>0</v>
      </c>
    </row>
    <row r="75" spans="3:29" ht="12.75">
      <c r="C75" s="34">
        <f>B75*AD75</f>
        <v>0</v>
      </c>
      <c r="E75" s="34">
        <f>D75*AD75</f>
        <v>0</v>
      </c>
      <c r="G75" s="34">
        <f>F75*AD75</f>
        <v>0</v>
      </c>
      <c r="I75" s="34">
        <f>H75*AD75</f>
        <v>0</v>
      </c>
      <c r="M75" s="34">
        <f>L75*AD75</f>
        <v>0</v>
      </c>
      <c r="AC75" s="34">
        <f>B75+D75+F75+H75+J75+L75+N75</f>
        <v>0</v>
      </c>
    </row>
    <row r="76" spans="3:29" ht="12.75">
      <c r="C76" s="34">
        <f>B76*AD76</f>
        <v>0</v>
      </c>
      <c r="E76" s="34">
        <f>D76*AD76</f>
        <v>0</v>
      </c>
      <c r="G76" s="34">
        <f>F76*AD76</f>
        <v>0</v>
      </c>
      <c r="I76" s="34">
        <f>H76*AD76</f>
        <v>0</v>
      </c>
      <c r="M76" s="34">
        <f>L76*AD76</f>
        <v>0</v>
      </c>
      <c r="AC76" s="34">
        <f>B76+D76+F76+H76+J76+L76+N76</f>
        <v>0</v>
      </c>
    </row>
    <row r="77" spans="3:29" ht="12.75">
      <c r="C77" s="34">
        <f>B77*AD77</f>
        <v>0</v>
      </c>
      <c r="E77" s="34">
        <f>D77*AD77</f>
        <v>0</v>
      </c>
      <c r="G77" s="34">
        <f>F77*AD77</f>
        <v>0</v>
      </c>
      <c r="I77" s="34">
        <f>H77*AD77</f>
        <v>0</v>
      </c>
      <c r="M77" s="34">
        <f>L77*AD77</f>
        <v>0</v>
      </c>
      <c r="AC77" s="34">
        <f>B77+D77+F77+H77+J77+L77+N77</f>
        <v>0</v>
      </c>
    </row>
    <row r="78" spans="3:29" ht="12.75">
      <c r="C78" s="34">
        <f>B78*AD78</f>
        <v>0</v>
      </c>
      <c r="E78" s="34">
        <f>D78*AD78</f>
        <v>0</v>
      </c>
      <c r="G78" s="34">
        <f>F78*AD78</f>
        <v>0</v>
      </c>
      <c r="I78" s="34">
        <f>H78*AD78</f>
        <v>0</v>
      </c>
      <c r="AC78" s="34">
        <f>B78+D78+F78+H78+J78+L78+N78</f>
        <v>0</v>
      </c>
    </row>
    <row r="79" spans="3:29" ht="12.75">
      <c r="C79" s="34">
        <f>B79*AD79</f>
        <v>0</v>
      </c>
      <c r="E79" s="34">
        <f>D79*AD79</f>
        <v>0</v>
      </c>
      <c r="G79" s="34">
        <f>F79*AD79</f>
        <v>0</v>
      </c>
      <c r="I79" s="34">
        <f>H79*AD79</f>
        <v>0</v>
      </c>
      <c r="AC79" s="34">
        <f>B79+D79+F79+H79+J79+L79+N79</f>
        <v>0</v>
      </c>
    </row>
    <row r="80" spans="3:29" ht="12.75">
      <c r="C80" s="34">
        <f>B80*AD80</f>
        <v>0</v>
      </c>
      <c r="E80" s="34">
        <f>D80*AD80</f>
        <v>0</v>
      </c>
      <c r="G80" s="34">
        <f>F80*AD80</f>
        <v>0</v>
      </c>
      <c r="I80" s="34">
        <f>H80*AD80</f>
        <v>0</v>
      </c>
      <c r="AC80" s="34">
        <f>B80+D80+F80+H80+J80+L80+N80</f>
        <v>0</v>
      </c>
    </row>
    <row r="81" spans="3:29" ht="12.75">
      <c r="C81" s="34">
        <f>B81*AD81</f>
        <v>0</v>
      </c>
      <c r="E81" s="34">
        <f>D81*AD81</f>
        <v>0</v>
      </c>
      <c r="G81" s="34">
        <f>F81*AD81</f>
        <v>0</v>
      </c>
      <c r="I81" s="34">
        <f>H81*AD81</f>
        <v>0</v>
      </c>
      <c r="AC81" s="34">
        <f>B81+D81+F81+H81+J81+L81+N81</f>
        <v>0</v>
      </c>
    </row>
    <row r="82" spans="3:29" ht="12.75">
      <c r="C82" s="34">
        <f>B82*AD82</f>
        <v>0</v>
      </c>
      <c r="E82" s="34">
        <f>D82*AD82</f>
        <v>0</v>
      </c>
      <c r="G82" s="34">
        <f>F82*AD82</f>
        <v>0</v>
      </c>
      <c r="I82" s="34">
        <f>H82*AD82</f>
        <v>0</v>
      </c>
      <c r="AC82" s="34">
        <f>B82+D82+F82+H82+J82+L82+N82</f>
        <v>0</v>
      </c>
    </row>
    <row r="83" spans="3:29" ht="12.75">
      <c r="C83" s="34">
        <f>B83*AD83</f>
        <v>0</v>
      </c>
      <c r="E83" s="34">
        <f>D83*AD83</f>
        <v>0</v>
      </c>
      <c r="AC83" s="34">
        <f>B83+D83+F83+H83+J83+L83+N83</f>
        <v>0</v>
      </c>
    </row>
    <row r="84" spans="3:29" ht="12.75">
      <c r="C84" s="34">
        <f>B84*AD84</f>
        <v>0</v>
      </c>
      <c r="E84" s="34">
        <f>D84*AD84</f>
        <v>0</v>
      </c>
      <c r="AC84" s="34">
        <f>B84+D84+F84+H84+J84+L84+N84</f>
        <v>0</v>
      </c>
    </row>
    <row r="85" spans="3:29" ht="12.75">
      <c r="C85" s="34">
        <f>B85*AD85</f>
        <v>0</v>
      </c>
      <c r="E85" s="34">
        <f>D85*AD85</f>
        <v>0</v>
      </c>
      <c r="AC85" s="34">
        <f>B85+D85+F85+H85+J85+L85+N85</f>
        <v>0</v>
      </c>
    </row>
    <row r="86" spans="3:29" ht="12.75">
      <c r="C86" s="34">
        <f>B86*AD86</f>
        <v>0</v>
      </c>
      <c r="E86" s="34">
        <f>D86*AD86</f>
        <v>0</v>
      </c>
      <c r="AC86" s="34">
        <f>B86+D86+F86+H86+J86+L86+N86</f>
        <v>0</v>
      </c>
    </row>
    <row r="87" spans="3:29" ht="12.75">
      <c r="C87" s="34">
        <f>B87*AD87</f>
        <v>0</v>
      </c>
      <c r="E87" s="34">
        <f>D87*AD87</f>
        <v>0</v>
      </c>
      <c r="AC87" s="34">
        <f>B87+D87+F87+H87+J87+L87+N87</f>
        <v>0</v>
      </c>
    </row>
    <row r="88" spans="3:29" ht="12.75">
      <c r="C88" s="34">
        <f>B88*AD88</f>
        <v>0</v>
      </c>
      <c r="E88" s="34">
        <f>D88*AD88</f>
        <v>0</v>
      </c>
      <c r="AC88" s="34">
        <f>B88+D88+F88+H88+J88+L88+N88</f>
        <v>0</v>
      </c>
    </row>
    <row r="89" spans="3:29" ht="12.75">
      <c r="C89" s="34">
        <f>B89*AD89</f>
        <v>0</v>
      </c>
      <c r="E89" s="34">
        <f>D89*AD89</f>
        <v>0</v>
      </c>
      <c r="AC89" s="34">
        <f>B89+D89+F89+H89+J89+L89+N89</f>
        <v>0</v>
      </c>
    </row>
    <row r="90" spans="3:29" ht="12.75">
      <c r="C90" s="34">
        <f>B90*AD90</f>
        <v>0</v>
      </c>
      <c r="E90" s="34">
        <f>D90*AD90</f>
        <v>0</v>
      </c>
      <c r="AC90" s="34">
        <f>B90+D90+F90+H90+J90+L90+N90</f>
        <v>0</v>
      </c>
    </row>
    <row r="91" spans="3:29" ht="12.75">
      <c r="C91" s="34">
        <f>B91*AD91</f>
        <v>0</v>
      </c>
      <c r="E91" s="34">
        <f>D91*AD91</f>
        <v>0</v>
      </c>
      <c r="AC91" s="34">
        <f>B91+D91+F91+H91+J91+L91+N91</f>
        <v>0</v>
      </c>
    </row>
    <row r="92" spans="3:29" ht="12.75">
      <c r="C92" s="34">
        <f>B92*AD92</f>
        <v>0</v>
      </c>
      <c r="E92" s="34">
        <f>D92*AD92</f>
        <v>0</v>
      </c>
      <c r="AC92" s="34">
        <f>B92+D92+F92+H92+J92+L92+N92</f>
        <v>0</v>
      </c>
    </row>
    <row r="93" spans="3:29" ht="12.75">
      <c r="C93" s="34">
        <f>B93*AD93</f>
        <v>0</v>
      </c>
      <c r="E93" s="34">
        <f>D93*AD93</f>
        <v>0</v>
      </c>
      <c r="AC93" s="34">
        <f>B93+D93+F93+H93+J93+L93+N93</f>
        <v>0</v>
      </c>
    </row>
    <row r="94" spans="3:29" ht="12.75">
      <c r="C94" s="34">
        <f>B94*AD94</f>
        <v>0</v>
      </c>
      <c r="E94" s="34">
        <f>D94*AD94</f>
        <v>0</v>
      </c>
      <c r="AC94" s="34">
        <f>B94+D94+F94+H94+J94+L94+N94</f>
        <v>0</v>
      </c>
    </row>
    <row r="95" spans="3:29" ht="12.75">
      <c r="C95" s="34">
        <f>B95*AD95</f>
        <v>0</v>
      </c>
      <c r="E95" s="34">
        <f>D95*AD95</f>
        <v>0</v>
      </c>
      <c r="AC95" s="34">
        <f>B95+D95+F95+H95+J95+L95+N95</f>
        <v>0</v>
      </c>
    </row>
    <row r="96" spans="3:29" ht="12.75">
      <c r="C96" s="34">
        <f>B96*AD96</f>
        <v>0</v>
      </c>
      <c r="E96" s="34">
        <f>D96*AD96</f>
        <v>0</v>
      </c>
      <c r="AC96" s="34">
        <f>B96+D96+F96+H96+J96+L96+N96</f>
        <v>0</v>
      </c>
    </row>
    <row r="97" spans="3:29" ht="12.75">
      <c r="C97" s="34">
        <f>B97*AD97</f>
        <v>0</v>
      </c>
      <c r="AC97" s="34">
        <f>B97+D97+F97+H97+J97+L97+N97</f>
        <v>0</v>
      </c>
    </row>
    <row r="98" spans="3:29" ht="12.75">
      <c r="C98" s="34">
        <f>B98*AD98</f>
        <v>0</v>
      </c>
      <c r="AC98" s="34">
        <f>B98+D98+F98+H98+J98+L98+N98</f>
        <v>0</v>
      </c>
    </row>
    <row r="99" spans="3:29" ht="12.75">
      <c r="C99" s="34">
        <f>B99*AD99</f>
        <v>0</v>
      </c>
      <c r="AC99" s="34">
        <f>B99+D99+F99+H99+J99+L99+N99</f>
        <v>0</v>
      </c>
    </row>
    <row r="100" spans="3:29" ht="12.75">
      <c r="C100" s="34">
        <f>B100*AD100</f>
        <v>0</v>
      </c>
      <c r="AC100" s="34">
        <f>B100+D100+F100+H100+J100+L100+N100</f>
        <v>0</v>
      </c>
    </row>
    <row r="101" spans="3:29" ht="12.75">
      <c r="C101" s="34">
        <f>B101*AD101</f>
        <v>0</v>
      </c>
      <c r="AC101" s="34">
        <f>B101+D101+F101+H101+J101+L101+N101</f>
        <v>0</v>
      </c>
    </row>
    <row r="102" spans="3:29" ht="12.75">
      <c r="C102" s="34">
        <f>B102*AD102</f>
        <v>0</v>
      </c>
      <c r="AC102" s="34">
        <f>B102+D102+F102+H102+J102+L102+N102</f>
        <v>0</v>
      </c>
    </row>
    <row r="103" spans="3:29" ht="12.75">
      <c r="C103" s="34">
        <f>B103*AD103</f>
        <v>0</v>
      </c>
      <c r="AC103" s="34">
        <f>B103+D103+F103+H103+J103+L103+N103</f>
        <v>0</v>
      </c>
    </row>
    <row r="104" spans="3:29" ht="12.75">
      <c r="C104" s="34">
        <f>B104*AD104</f>
        <v>0</v>
      </c>
      <c r="AC104" s="34">
        <f>B104+D104+F104+H104+J104+L104+N104</f>
        <v>0</v>
      </c>
    </row>
    <row r="105" spans="3:29" ht="12.75">
      <c r="C105" s="34">
        <f>B105*AD105</f>
        <v>0</v>
      </c>
      <c r="AC105" s="34">
        <f>B105+D105+F105+H105+J105+L105+N105</f>
        <v>0</v>
      </c>
    </row>
    <row r="106" spans="3:29" ht="12.75">
      <c r="C106" s="34">
        <f>B106*AD106</f>
        <v>0</v>
      </c>
      <c r="AC106" s="34">
        <f>B106+D106+F106+H106+J106+L106+N106</f>
        <v>0</v>
      </c>
    </row>
    <row r="107" spans="3:29" ht="12.75">
      <c r="C107" s="34">
        <f>B107*AD107</f>
        <v>0</v>
      </c>
      <c r="AC107" s="34">
        <f>B107+D107+F107+H107+J107+L107+N107</f>
        <v>0</v>
      </c>
    </row>
    <row r="108" spans="3:29" ht="12.75">
      <c r="C108" s="34">
        <f>B108*AD108</f>
        <v>0</v>
      </c>
      <c r="AC108" s="34">
        <f>B108+D108+F108+H108+J108+L108+N108</f>
        <v>0</v>
      </c>
    </row>
    <row r="109" spans="3:29" ht="12.75">
      <c r="C109" s="34">
        <f>B109*AD109</f>
        <v>0</v>
      </c>
      <c r="AC109" s="34">
        <f>B109+D109+F109+H109+J109+L109+N109</f>
        <v>0</v>
      </c>
    </row>
    <row r="110" spans="3:29" ht="12.75">
      <c r="C110" s="34">
        <f>B110*AD110</f>
        <v>0</v>
      </c>
      <c r="AC110" s="34">
        <f>B110+D110+F110+H110+J110+L110+N110</f>
        <v>0</v>
      </c>
    </row>
    <row r="111" spans="3:29" ht="12.75">
      <c r="C111" s="34">
        <f>B111*AD111</f>
        <v>0</v>
      </c>
      <c r="AC111" s="34">
        <f>B111+D111+F111+H111+J111+L111+N111</f>
        <v>0</v>
      </c>
    </row>
    <row r="112" spans="3:29" ht="12.75">
      <c r="C112" s="34">
        <f>B112*AD112</f>
        <v>0</v>
      </c>
      <c r="AC112" s="34">
        <f>B112+D112+F112+H112+J112+L112+N112</f>
        <v>0</v>
      </c>
    </row>
    <row r="113" spans="3:29" ht="12.75">
      <c r="C113" s="34">
        <f>B113*AD113</f>
        <v>0</v>
      </c>
      <c r="AC113" s="34">
        <f>B113+D113+F113+H113+J113+L113+N113</f>
        <v>0</v>
      </c>
    </row>
    <row r="114" spans="3:29" ht="12.75">
      <c r="C114" s="34">
        <f>B114*AD114</f>
        <v>0</v>
      </c>
      <c r="AC114" s="34">
        <f>B114+D114+F114+H114+J114+L114+N114</f>
        <v>0</v>
      </c>
    </row>
    <row r="115" spans="3:29" ht="12.75">
      <c r="C115" s="34">
        <f>B115*AD115</f>
        <v>0</v>
      </c>
      <c r="AC115" s="34">
        <f>B115+D115+F115+H115+J115+L115+N115</f>
        <v>0</v>
      </c>
    </row>
    <row r="116" spans="3:29" ht="12.75">
      <c r="C116" s="34">
        <f>B116*AD116</f>
        <v>0</v>
      </c>
      <c r="AC116" s="34">
        <f>B116+D116+F116+H116+J116+L116+N116</f>
        <v>0</v>
      </c>
    </row>
    <row r="117" spans="3:29" ht="12.75">
      <c r="C117" s="34">
        <f>B117*AD117</f>
        <v>0</v>
      </c>
      <c r="AC117" s="34">
        <f>B117+D117+F117+H117+J117+L117+N117</f>
        <v>0</v>
      </c>
    </row>
    <row r="118" spans="3:29" ht="12.75">
      <c r="C118" s="34">
        <f>B118*AD118</f>
        <v>0</v>
      </c>
      <c r="AC118" s="34">
        <f>B118+D118+F118+H118+J118+L118+N118</f>
        <v>0</v>
      </c>
    </row>
    <row r="119" spans="3:29" ht="12.75">
      <c r="C119" s="34">
        <f>B119*AD119</f>
        <v>0</v>
      </c>
      <c r="AC119" s="34">
        <f>B119+D119+F119+H119+J119+L119+N119</f>
        <v>0</v>
      </c>
    </row>
    <row r="120" spans="3:29" ht="12.75">
      <c r="C120" s="34">
        <f>B120*AD120</f>
        <v>0</v>
      </c>
      <c r="AC120" s="34">
        <f>B120+D120+F120+H120+J120+L120+N120</f>
        <v>0</v>
      </c>
    </row>
    <row r="121" spans="3:29" ht="12.75">
      <c r="C121" s="34">
        <f>B121*AD121</f>
        <v>0</v>
      </c>
      <c r="AC121" s="34">
        <f>B121+D121+F121+H121+J121+L121+N121</f>
        <v>0</v>
      </c>
    </row>
    <row r="122" spans="3:29" ht="12.75">
      <c r="C122" s="34">
        <f>B122*AD122</f>
        <v>0</v>
      </c>
      <c r="AC122" s="34">
        <f>B122+D122+F122+H122+J122+L122+N122</f>
        <v>0</v>
      </c>
    </row>
    <row r="123" spans="3:29" ht="12.75">
      <c r="C123" s="34">
        <f>B123*AD123</f>
        <v>0</v>
      </c>
      <c r="AC123" s="34">
        <f>B123+D123+F123+H123+J123+L123+N123</f>
        <v>0</v>
      </c>
    </row>
    <row r="124" spans="3:29" ht="12.75">
      <c r="C124" s="34">
        <f>B124*AD124</f>
        <v>0</v>
      </c>
      <c r="AC124" s="34">
        <f>B124+D124+F124+H124+J124+L124+N124</f>
        <v>0</v>
      </c>
    </row>
    <row r="125" spans="3:29" ht="12.75">
      <c r="C125" s="34">
        <f>B125*AD125</f>
        <v>0</v>
      </c>
      <c r="AC125" s="34">
        <f>B125+D125+F125+H125+J125+L125+N125</f>
        <v>0</v>
      </c>
    </row>
    <row r="126" spans="3:29" ht="12.75">
      <c r="C126" s="34">
        <f>B126*AD126</f>
        <v>0</v>
      </c>
      <c r="AC126" s="34">
        <f>B126+D126+F126+H126+J126+L126+N126</f>
        <v>0</v>
      </c>
    </row>
    <row r="127" spans="3:29" ht="12.75">
      <c r="C127" s="34">
        <f>B127*AD127</f>
        <v>0</v>
      </c>
      <c r="AC127" s="34">
        <f>B127+D127+F127+H127+J127+L127+N127</f>
        <v>0</v>
      </c>
    </row>
    <row r="128" spans="3:29" ht="12.75">
      <c r="C128" s="34">
        <f>B128*AD128</f>
        <v>0</v>
      </c>
      <c r="AC128" s="34">
        <f>B128+D128+F128+H128+J128+L128+N128</f>
        <v>0</v>
      </c>
    </row>
    <row r="129" spans="3:29" ht="12.75">
      <c r="C129" s="34">
        <f>B129*AD129</f>
        <v>0</v>
      </c>
      <c r="AC129" s="34">
        <f>B129+D129+F129+H129+J129+L129+N129</f>
        <v>0</v>
      </c>
    </row>
    <row r="130" spans="3:29" ht="12.75">
      <c r="C130" s="34">
        <f>B130*AD130</f>
        <v>0</v>
      </c>
      <c r="AC130" s="34">
        <f>B130+D130+F130+H130+J130+L130+N130</f>
        <v>0</v>
      </c>
    </row>
    <row r="131" spans="3:29" ht="12.75">
      <c r="C131" s="34">
        <f>B131*AD131</f>
        <v>0</v>
      </c>
      <c r="AC131" s="34">
        <f>B131+D131+F131+H131+J131+L131+N131</f>
        <v>0</v>
      </c>
    </row>
    <row r="132" spans="3:29" ht="12.75">
      <c r="C132" s="34">
        <f>B132*AD132</f>
        <v>0</v>
      </c>
      <c r="AC132" s="34">
        <f>B132+D132+F132+H132+J132+L132+N132</f>
        <v>0</v>
      </c>
    </row>
    <row r="133" ht="12.75">
      <c r="AC133" s="34">
        <f>B133+D133+F133+H133+J133+L133+N133</f>
        <v>0</v>
      </c>
    </row>
    <row r="134" ht="12.75">
      <c r="AC134" s="34">
        <f>B134+D134+F134+H134+J134+L134+N134</f>
        <v>0</v>
      </c>
    </row>
    <row r="135" ht="12.75">
      <c r="AC135" s="34">
        <f>B135+D135+F135+H135+J135+L135+N135</f>
        <v>0</v>
      </c>
    </row>
  </sheetData>
  <sheetProtection selectLockedCells="1" selectUnlockedCells="1"/>
  <printOptions/>
  <pageMargins left="0" right="0" top="0.1388888888888889" bottom="0.1388888888888889" header="0" footer="0"/>
  <pageSetup horizontalDpi="300" verticalDpi="300" orientation="portrait" paperSize="9"/>
  <headerFooter alignWithMargins="0">
    <oddHeader>&amp;C&amp;10&amp;A</oddHeader>
    <oddFooter>&amp;C&amp;10Page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4680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Renan Greinert</cp:lastModifiedBy>
  <dcterms:created xsi:type="dcterms:W3CDTF">2017-08-08T11:18:32Z</dcterms:created>
  <dcterms:modified xsi:type="dcterms:W3CDTF">2019-05-07T10:24:48Z</dcterms:modified>
  <cp:category/>
  <cp:version/>
  <cp:contentType/>
  <cp:contentStatus/>
  <cp:revision>1786</cp:revision>
</cp:coreProperties>
</file>