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19"/>
  </bookViews>
  <sheets>
    <sheet name="chile" sheetId="1" r:id="rId1"/>
    <sheet name="Peru" sheetId="2" r:id="rId2"/>
    <sheet name="Equador" sheetId="3" r:id="rId3"/>
    <sheet name="Ganhos" sheetId="4" r:id="rId4"/>
    <sheet name="Geral" sheetId="5" r:id="rId5"/>
    <sheet name="set-out-2015" sheetId="6" r:id="rId6"/>
    <sheet name="Nov - 2015" sheetId="7" r:id="rId7"/>
    <sheet name="Dez-2015" sheetId="8" r:id="rId8"/>
    <sheet name="Jan 2016" sheetId="9" r:id="rId9"/>
    <sheet name="Fev 2016" sheetId="10" r:id="rId10"/>
    <sheet name="Mar 2016" sheetId="11" r:id="rId11"/>
    <sheet name="abr 2016" sheetId="12" r:id="rId12"/>
    <sheet name="maio 2016" sheetId="13" r:id="rId13"/>
    <sheet name="junho 2016" sheetId="14" r:id="rId14"/>
    <sheet name="julho 2016" sheetId="15" r:id="rId15"/>
    <sheet name="ago 2016" sheetId="16" r:id="rId16"/>
    <sheet name="set 2016" sheetId="17" r:id="rId17"/>
    <sheet name="out 2016" sheetId="18" r:id="rId18"/>
    <sheet name="nov 2016" sheetId="19" r:id="rId19"/>
    <sheet name="dez 2016" sheetId="20" r:id="rId20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Ônibus de Santiago até o pedágio</t>
        </r>
      </text>
    </comment>
    <comment ref="B3" authorId="0">
      <text>
        <r>
          <rPr>
            <sz val="10"/>
            <rFont val="Arial"/>
            <family val="2"/>
          </rPr>
          <t>Ônibus coquimbo – la serena</t>
        </r>
      </text>
    </comment>
    <comment ref="B4" authorId="0">
      <text>
        <r>
          <rPr>
            <sz val="10"/>
            <rFont val="Arial"/>
            <family val="2"/>
          </rPr>
          <t>Ônibus Coquimbo – começo da estrada para pedir carona</t>
        </r>
      </text>
    </comment>
    <comment ref="B6" authorId="0">
      <text>
        <r>
          <rPr>
            <sz val="10"/>
            <rFont val="Arial"/>
            <family val="2"/>
          </rPr>
          <t>Ônibus de Vicuña até La Serena e de La Serena até Vallenar</t>
        </r>
      </text>
    </comment>
    <comment ref="D6" authorId="0">
      <text>
        <r>
          <rPr>
            <sz val="10"/>
            <rFont val="Arial"/>
            <family val="2"/>
          </rPr>
          <t>3500 foram para comprar um gas de camping</t>
        </r>
      </text>
    </comment>
    <comment ref="B7" authorId="0">
      <text>
        <r>
          <rPr>
            <sz val="10"/>
            <rFont val="Arial"/>
            <family val="2"/>
          </rPr>
          <t>Transporte até a estrada</t>
        </r>
      </text>
    </comment>
    <comment ref="U7" authorId="0">
      <text>
        <r>
          <rPr>
            <sz val="10"/>
            <rFont val="Arial"/>
            <family val="2"/>
          </rPr>
          <t>Na verdade dormimos no caminhão</t>
        </r>
      </text>
    </comment>
    <comment ref="Q8" authorId="0">
      <text>
        <r>
          <rPr>
            <sz val="10"/>
            <rFont val="Arial"/>
            <family val="2"/>
          </rPr>
          <t>Mike da agência de viagens Ayllu</t>
        </r>
      </text>
    </comment>
    <comment ref="H9" authorId="0">
      <text>
        <r>
          <rPr>
            <sz val="10"/>
            <rFont val="Arial"/>
            <family val="2"/>
          </rPr>
          <t>Entradas para o Valle de la Luna e Valle de la Muerte</t>
        </r>
      </text>
    </comment>
    <comment ref="H13" authorId="0">
      <text>
        <r>
          <rPr>
            <sz val="10"/>
            <rFont val="Arial"/>
            <family val="2"/>
          </rPr>
          <t>3000 de entrada no passeio de Piedras Rojas</t>
        </r>
      </text>
    </comment>
    <comment ref="H15" authorId="0">
      <text>
        <r>
          <rPr>
            <sz val="10"/>
            <rFont val="Arial"/>
            <family val="2"/>
          </rPr>
          <t>Entrada para as Termas</t>
        </r>
      </text>
    </comment>
    <comment ref="J15" authorId="0">
      <text>
        <r>
          <rPr>
            <sz val="10"/>
            <rFont val="Arial"/>
            <family val="2"/>
          </rPr>
          <t>Gorjeta para os músicos do restaurante</t>
        </r>
      </text>
    </comment>
    <comment ref="H16" authorId="0">
      <text>
        <r>
          <rPr>
            <sz val="10"/>
            <rFont val="Arial"/>
            <family val="2"/>
          </rPr>
          <t>15000 Entrada na Laguna Cejar  + 2000 salar</t>
        </r>
      </text>
    </comment>
    <comment ref="H20" authorId="0">
      <text>
        <r>
          <rPr>
            <sz val="10"/>
            <rFont val="Arial"/>
            <family val="2"/>
          </rPr>
          <t>5000 p/p Geiser del Tatio</t>
        </r>
      </text>
    </comment>
    <comment ref="F26" authorId="0">
      <text>
        <r>
          <rPr>
            <sz val="10"/>
            <rFont val="Arial"/>
            <family val="2"/>
          </rPr>
          <t>Cachorro quente</t>
        </r>
      </text>
    </comment>
    <comment ref="J31" authorId="0">
      <text>
        <r>
          <rPr>
            <sz val="10"/>
            <rFont val="Arial"/>
            <family val="2"/>
          </rPr>
          <t>Racha da gasolina</t>
        </r>
      </text>
    </comment>
    <comment ref="F34" authorId="0">
      <text>
        <r>
          <rPr>
            <sz val="10"/>
            <rFont val="Arial"/>
            <family val="2"/>
          </rPr>
          <t>Comemos empanadas perto da praia, e pagamos a da Pia e de sua irmã</t>
        </r>
      </text>
    </comment>
    <comment ref="F37" authorId="0">
      <text>
        <r>
          <rPr>
            <sz val="10"/>
            <rFont val="Arial"/>
            <family val="2"/>
          </rPr>
          <t>Tomamos um "mote com huessillos" na praia</t>
        </r>
      </text>
    </comment>
    <comment ref="F40" authorId="0">
      <text>
        <r>
          <rPr>
            <sz val="10"/>
            <rFont val="Arial"/>
            <family val="2"/>
          </rPr>
          <t>Almoço em Santiago</t>
        </r>
      </text>
    </comment>
    <comment ref="F42" authorId="0">
      <text>
        <r>
          <rPr>
            <sz val="10"/>
            <rFont val="Arial"/>
            <family val="2"/>
          </rPr>
          <t>2 cachorros-quentes</t>
        </r>
      </text>
    </comment>
    <comment ref="B43" authorId="0">
      <text>
        <r>
          <rPr>
            <sz val="10"/>
            <rFont val="Arial"/>
            <family val="2"/>
          </rPr>
          <t>6000 – ônibus da metade da estrada até Santiago. 940 – ônibus de Valpo à Vinha. 200 e 600 – elevadores de Valpo</t>
        </r>
      </text>
    </comment>
    <comment ref="J47" authorId="0">
      <text>
        <r>
          <rPr>
            <sz val="10"/>
            <rFont val="Arial"/>
            <family val="2"/>
          </rPr>
          <t>Duas calças novas para a Michele</t>
        </r>
      </text>
    </comment>
    <comment ref="B54" authorId="0">
      <text>
        <r>
          <rPr>
            <sz val="10"/>
            <rFont val="Arial"/>
            <family val="2"/>
          </rPr>
          <t>Ônibus até a saída de Punta Arenas</t>
        </r>
      </text>
    </comment>
    <comment ref="D57" authorId="0">
      <text>
        <r>
          <rPr>
            <sz val="10"/>
            <rFont val="Arial"/>
            <family val="2"/>
          </rPr>
          <t>Compramos comida e gás para levar para o Torres del Paine</t>
        </r>
      </text>
    </comment>
    <comment ref="J73" authorId="0">
      <text>
        <r>
          <rPr>
            <sz val="10"/>
            <rFont val="Arial"/>
            <family val="2"/>
          </rPr>
          <t>Banheiro em Puerto Montt</t>
        </r>
      </text>
    </comment>
    <comment ref="B75" authorId="0">
      <text>
        <r>
          <rPr>
            <sz val="10"/>
            <rFont val="Arial"/>
            <family val="2"/>
          </rPr>
          <t>Passagem de Ancud a Castro</t>
        </r>
      </text>
    </comment>
    <comment ref="B76" authorId="0">
      <text>
        <r>
          <rPr>
            <sz val="10"/>
            <rFont val="Arial"/>
            <family val="2"/>
          </rPr>
          <t>Onibus Castro – Dalcahue</t>
        </r>
      </text>
    </comment>
    <comment ref="J76" authorId="0">
      <text>
        <r>
          <rPr>
            <sz val="10"/>
            <rFont val="Arial"/>
            <family val="2"/>
          </rPr>
          <t>Banheiro</t>
        </r>
      </text>
    </comment>
    <comment ref="L76" authorId="0">
      <text>
        <r>
          <rPr>
            <sz val="10"/>
            <rFont val="Arial"/>
            <family val="2"/>
          </rPr>
          <t>O camping custava 3000 p/p, mas a dona deixou a gente ficar em um quarto pelo mesmo preço</t>
        </r>
      </text>
    </comment>
    <comment ref="B77" authorId="0">
      <text>
        <r>
          <rPr>
            <sz val="10"/>
            <rFont val="Arial"/>
            <family val="2"/>
          </rPr>
          <t>Onibus para ir até a ilha de Quinchao e andar por lá</t>
        </r>
      </text>
    </comment>
    <comment ref="B78" authorId="0">
      <text>
        <r>
          <rPr>
            <sz val="10"/>
            <rFont val="Arial"/>
            <family val="2"/>
          </rPr>
          <t>Para ir e voltar de Tenaun</t>
        </r>
      </text>
    </comment>
    <comment ref="H78" authorId="0">
      <text>
        <r>
          <rPr>
            <sz val="10"/>
            <rFont val="Arial"/>
            <family val="2"/>
          </rPr>
          <t>Doação para a igreja de Tenaun. A igreja estava fechada e a mulherzinha veio abrir especialmente para nós</t>
        </r>
      </text>
    </comment>
    <comment ref="B79" authorId="0">
      <text>
        <r>
          <rPr>
            <sz val="10"/>
            <rFont val="Arial"/>
            <family val="2"/>
          </rPr>
          <t>Ônibus de Dalcahue a Castro e de Castro a Cucao (Parque Nacional)</t>
        </r>
      </text>
    </comment>
    <comment ref="H80" authorId="0">
      <text>
        <r>
          <rPr>
            <sz val="10"/>
            <rFont val="Arial"/>
            <family val="2"/>
          </rPr>
          <t>Entrada no Parque Nacional Chiloé</t>
        </r>
      </text>
    </comment>
    <comment ref="B81" authorId="0">
      <text>
        <r>
          <rPr>
            <sz val="10"/>
            <rFont val="Arial"/>
            <family val="2"/>
          </rPr>
          <t>Ônibus de Cucao a Chonchi e de Chonchi a Quillon</t>
        </r>
      </text>
    </comment>
    <comment ref="F82" authorId="0">
      <text>
        <r>
          <rPr>
            <sz val="10"/>
            <rFont val="Arial"/>
            <family val="2"/>
          </rPr>
          <t>Almoçamos um curanto, o prato típico de Chiloé</t>
        </r>
      </text>
    </comment>
    <comment ref="B83" authorId="0">
      <text>
        <r>
          <rPr>
            <sz val="10"/>
            <rFont val="Arial"/>
            <family val="2"/>
          </rPr>
          <t>Ferry de Quellon (Chiloé) até Puerto Cisnes</t>
        </r>
      </text>
    </comment>
    <comment ref="J84" authorId="0">
      <text>
        <r>
          <rPr>
            <sz val="10"/>
            <rFont val="Arial"/>
            <family val="2"/>
          </rPr>
          <t>Compramos 3 pares de meias novos</t>
        </r>
      </text>
    </comment>
    <comment ref="J85" authorId="0">
      <text>
        <r>
          <rPr>
            <sz val="10"/>
            <rFont val="Arial"/>
            <family val="2"/>
          </rPr>
          <t>Compramos uma calça e chinelos para a Michele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rFont val="Arial"/>
            <family val="2"/>
          </rPr>
          <t>Ônibus até a saída de Punta Arenas</t>
        </r>
      </text>
    </comment>
    <comment ref="H9" authorId="0">
      <text>
        <r>
          <rPr>
            <sz val="10"/>
            <rFont val="Arial"/>
            <family val="2"/>
          </rPr>
          <t>Entrada para o Presídio do Ushuaia</t>
        </r>
      </text>
    </comment>
    <comment ref="J21" authorId="0">
      <text>
        <r>
          <rPr>
            <sz val="10"/>
            <rFont val="Arial"/>
            <family val="2"/>
          </rPr>
          <t xml:space="preserve">Presente para a Gisela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J2" authorId="0">
      <text>
        <r>
          <rPr>
            <sz val="10"/>
            <rFont val="Arial"/>
            <family val="2"/>
          </rPr>
          <t>Compramos um copo</t>
        </r>
      </text>
    </comment>
    <comment ref="H5" authorId="0">
      <text>
        <r>
          <rPr>
            <sz val="10"/>
            <rFont val="Arial"/>
            <family val="2"/>
          </rPr>
          <t xml:space="preserve">Entrada Parque Los Alerces
</t>
        </r>
      </text>
    </comment>
    <comment ref="F9" authorId="0">
      <text>
        <r>
          <rPr>
            <sz val="10"/>
            <rFont val="Arial"/>
            <family val="2"/>
          </rPr>
          <t>Cachorro quente</t>
        </r>
      </text>
    </comment>
    <comment ref="J14" authorId="0">
      <text>
        <r>
          <rPr>
            <sz val="10"/>
            <rFont val="Arial"/>
            <family val="2"/>
          </rPr>
          <t>Racha da gasolina</t>
        </r>
      </text>
    </comment>
    <comment ref="F17" authorId="0">
      <text>
        <r>
          <rPr>
            <sz val="10"/>
            <rFont val="Arial"/>
            <family val="2"/>
          </rPr>
          <t>Comemos empanadas perto da praia, e pagamos a da Pia e da Cony</t>
        </r>
      </text>
    </comment>
    <comment ref="F20" authorId="0">
      <text>
        <r>
          <rPr>
            <sz val="10"/>
            <rFont val="Arial"/>
            <family val="2"/>
          </rPr>
          <t>Tomamos um "mote com huessillos" na praia</t>
        </r>
      </text>
    </comment>
    <comment ref="F23" authorId="0">
      <text>
        <r>
          <rPr>
            <sz val="10"/>
            <rFont val="Arial"/>
            <family val="2"/>
          </rPr>
          <t>Almoço em Santiago</t>
        </r>
      </text>
    </comment>
    <comment ref="F25" authorId="0">
      <text>
        <r>
          <rPr>
            <sz val="10"/>
            <rFont val="Arial"/>
            <family val="2"/>
          </rPr>
          <t>2 cachorros-quentes</t>
        </r>
      </text>
    </comment>
    <comment ref="B26" authorId="0">
      <text>
        <r>
          <rPr>
            <sz val="10"/>
            <rFont val="Arial"/>
            <family val="2"/>
          </rPr>
          <t>6000 – ônibus da metade da estrada até Santiago. 940 – ônibus de Valpo à Vinha. 200 e 600 – elevadores de Valpo</t>
        </r>
      </text>
    </comment>
    <comment ref="J30" authorId="0">
      <text>
        <r>
          <rPr>
            <sz val="10"/>
            <rFont val="Arial"/>
            <family val="2"/>
          </rPr>
          <t>Duas calças novas para a Michele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Ônibus de Santiago até o pedágio</t>
        </r>
      </text>
    </comment>
    <comment ref="B3" authorId="0">
      <text>
        <r>
          <rPr>
            <sz val="10"/>
            <rFont val="Arial"/>
            <family val="2"/>
          </rPr>
          <t>Ônibus coquimbo – la serena</t>
        </r>
      </text>
    </comment>
    <comment ref="B4" authorId="0">
      <text>
        <r>
          <rPr>
            <sz val="10"/>
            <rFont val="Arial"/>
            <family val="2"/>
          </rPr>
          <t>Ônibus Coquimbo – começo da estrada para pedir carona</t>
        </r>
      </text>
    </comment>
    <comment ref="B6" authorId="0">
      <text>
        <r>
          <rPr>
            <sz val="10"/>
            <rFont val="Arial"/>
            <family val="2"/>
          </rPr>
          <t>Ônibus de Vicuña até La Serena e de La Serena até Vallenar</t>
        </r>
      </text>
    </comment>
    <comment ref="D6" authorId="0">
      <text>
        <r>
          <rPr>
            <sz val="10"/>
            <rFont val="Arial"/>
            <family val="2"/>
          </rPr>
          <t>3500 foram para comprar um gas de camping</t>
        </r>
      </text>
    </comment>
    <comment ref="B7" authorId="0">
      <text>
        <r>
          <rPr>
            <sz val="10"/>
            <rFont val="Arial"/>
            <family val="2"/>
          </rPr>
          <t>Transporte até a estrada</t>
        </r>
      </text>
    </comment>
    <comment ref="U7" authorId="0">
      <text>
        <r>
          <rPr>
            <sz val="10"/>
            <rFont val="Arial"/>
            <family val="2"/>
          </rPr>
          <t>Na verdade dormimos no caminhão</t>
        </r>
      </text>
    </comment>
    <comment ref="Q8" authorId="0">
      <text>
        <r>
          <rPr>
            <sz val="10"/>
            <rFont val="Arial"/>
            <family val="2"/>
          </rPr>
          <t xml:space="preserve">Nos hospedamos na casa do Mike – Ayllu Atacama
</t>
        </r>
      </text>
    </comment>
    <comment ref="H9" authorId="0">
      <text>
        <r>
          <rPr>
            <sz val="10"/>
            <rFont val="Arial"/>
            <family val="2"/>
          </rPr>
          <t>Entradas para o Valle de la Luna e Valle de la Muerte</t>
        </r>
      </text>
    </comment>
    <comment ref="H13" authorId="0">
      <text>
        <r>
          <rPr>
            <sz val="10"/>
            <rFont val="Arial"/>
            <family val="2"/>
          </rPr>
          <t>3000 de entrada no passeio de Piedras Rojas</t>
        </r>
      </text>
    </comment>
    <comment ref="H15" authorId="0">
      <text>
        <r>
          <rPr>
            <sz val="10"/>
            <rFont val="Arial"/>
            <family val="2"/>
          </rPr>
          <t>Entrada para as Termas</t>
        </r>
      </text>
    </comment>
    <comment ref="J15" authorId="0">
      <text>
        <r>
          <rPr>
            <sz val="10"/>
            <rFont val="Arial"/>
            <family val="2"/>
          </rPr>
          <t>Gorjeta para os músicos do restaurante</t>
        </r>
      </text>
    </comment>
    <comment ref="H16" authorId="0">
      <text>
        <r>
          <rPr>
            <sz val="10"/>
            <rFont val="Arial"/>
            <family val="2"/>
          </rPr>
          <t>15000 Entrada na Laguna Cejar  + 2000 salar</t>
        </r>
      </text>
    </comment>
    <comment ref="H20" authorId="0">
      <text>
        <r>
          <rPr>
            <sz val="10"/>
            <rFont val="Arial"/>
            <family val="2"/>
          </rPr>
          <t>5000 p/p Geiser del Tatio</t>
        </r>
      </text>
    </comment>
    <comment ref="A23" authorId="0">
      <text>
        <r>
          <rPr>
            <sz val="10"/>
            <rFont val="Arial"/>
            <family val="2"/>
          </rPr>
          <t>Pagamos o passeio em dólares</t>
        </r>
      </text>
    </comment>
    <comment ref="J24" authorId="0">
      <text>
        <r>
          <rPr>
            <sz val="10"/>
            <rFont val="Arial"/>
            <family val="2"/>
          </rPr>
          <t>Banho termal</t>
        </r>
      </text>
    </comment>
    <comment ref="J25" authorId="0">
      <text>
        <r>
          <rPr>
            <sz val="10"/>
            <rFont val="Arial"/>
            <family val="2"/>
          </rPr>
          <t>10 bol de ducha (cada um) + 5 de banheiro</t>
        </r>
      </text>
    </comment>
    <comment ref="D30" authorId="0">
      <text>
        <r>
          <rPr>
            <sz val="10"/>
            <rFont val="Arial"/>
            <family val="2"/>
          </rPr>
          <t>21 foi de presente aos mineiros</t>
        </r>
      </text>
    </comment>
    <comment ref="J31" authorId="0">
      <text>
        <r>
          <rPr>
            <sz val="10"/>
            <rFont val="Arial"/>
            <family val="2"/>
          </rPr>
          <t>40 para lavar roupa, 3 de sorvete</t>
        </r>
      </text>
    </comment>
    <comment ref="J32" authorId="0">
      <text>
        <r>
          <rPr>
            <sz val="10"/>
            <rFont val="Arial"/>
            <family val="2"/>
          </rPr>
          <t>Compramos uma calça de moletom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Passagem para Macha</t>
        </r>
      </text>
    </comment>
    <comment ref="J2" authorId="0">
      <text>
        <r>
          <rPr>
            <sz val="10"/>
            <rFont val="Arial"/>
            <family val="2"/>
          </rPr>
          <t>Compramos chocolates de uns meninos que vendiam na rua</t>
        </r>
      </text>
    </comment>
    <comment ref="J4" authorId="0">
      <text>
        <r>
          <rPr>
            <sz val="10"/>
            <rFont val="Arial"/>
            <family val="2"/>
          </rPr>
          <t xml:space="preserve">10 - Compramos coca para dar de presente em uma comunidade onde veríamos os preparativos do Tinku
50 – Passe para tirar fotos (originalmente seria 100, mas com uma chorada conseguimos por 50)
</t>
        </r>
      </text>
    </comment>
    <comment ref="J5" authorId="0">
      <text>
        <r>
          <rPr>
            <sz val="10"/>
            <rFont val="Arial"/>
            <family val="2"/>
          </rPr>
          <t>Pagamos uma janta para um turista que foi roubado em Tinku</t>
        </r>
      </text>
    </comment>
    <comment ref="H7" authorId="0">
      <text>
        <r>
          <rPr>
            <sz val="10"/>
            <rFont val="Arial"/>
            <family val="2"/>
          </rPr>
          <t>Visita as catacumbas da Igreja de San Francisco, Sucre</t>
        </r>
      </text>
    </comment>
    <comment ref="B9" authorId="0">
      <text>
        <r>
          <rPr>
            <sz val="10"/>
            <rFont val="Arial"/>
            <family val="2"/>
          </rPr>
          <t>Ônibus ida e volta até Tarabuco</t>
        </r>
      </text>
    </comment>
    <comment ref="J9" authorId="0">
      <text>
        <r>
          <rPr>
            <sz val="10"/>
            <rFont val="Arial"/>
            <family val="2"/>
          </rPr>
          <t>Calça de gringo + sorvete</t>
        </r>
      </text>
    </comment>
    <comment ref="J11" authorId="0">
      <text>
        <r>
          <rPr>
            <sz val="10"/>
            <rFont val="Arial"/>
            <family val="2"/>
          </rPr>
          <t>1 de banheiro, 5 de taxa de embarque na rodoviaria</t>
        </r>
      </text>
    </comment>
    <comment ref="J12" authorId="0">
      <text>
        <r>
          <rPr>
            <sz val="10"/>
            <rFont val="Arial"/>
            <family val="2"/>
          </rPr>
          <t>Ajuda para jantar no camping</t>
        </r>
      </text>
    </comment>
    <comment ref="H13" authorId="0">
      <text>
        <r>
          <rPr>
            <sz val="10"/>
            <rFont val="Arial"/>
            <family val="2"/>
          </rPr>
          <t>Entrada no Fuerte de Samaipata</t>
        </r>
      </text>
    </comment>
    <comment ref="B14" authorId="0">
      <text>
        <r>
          <rPr>
            <sz val="10"/>
            <rFont val="Arial"/>
            <family val="2"/>
          </rPr>
          <t>Ônibus Samaipata – Sta Cruz e Sta Cruz – Cochabamba + ônibus interno Sta Cruz + Uso do Terminal</t>
        </r>
      </text>
    </comment>
    <comment ref="J14" authorId="0">
      <text>
        <r>
          <rPr>
            <sz val="10"/>
            <rFont val="Arial"/>
            <family val="2"/>
          </rPr>
          <t>Banheiro</t>
        </r>
      </text>
    </comment>
    <comment ref="J15" authorId="0">
      <text>
        <r>
          <rPr>
            <sz val="10"/>
            <rFont val="Arial"/>
            <family val="2"/>
          </rPr>
          <t>Banheiro</t>
        </r>
      </text>
    </comment>
    <comment ref="J16" authorId="0">
      <text>
        <r>
          <rPr>
            <sz val="10"/>
            <rFont val="Arial"/>
            <family val="2"/>
          </rPr>
          <t>18 – Compramos uma panela
159 – Impermeabilizante para a barraca
2 – sorvete
1,5 – "herbido" – suquinho que vendem nas ruas</t>
        </r>
      </text>
    </comment>
    <comment ref="B17" authorId="0">
      <text>
        <r>
          <rPr>
            <sz val="10"/>
            <rFont val="Arial"/>
            <family val="2"/>
          </rPr>
          <t>18 – ônibus até Copacabana. 
2 – trecho que precisa passar em barco</t>
        </r>
      </text>
    </comment>
    <comment ref="J18" authorId="0">
      <text>
        <r>
          <rPr>
            <sz val="10"/>
            <rFont val="Arial"/>
            <family val="2"/>
          </rPr>
          <t>Casaco para o mucuvinha</t>
        </r>
      </text>
    </comment>
    <comment ref="H19" authorId="0">
      <text>
        <r>
          <rPr>
            <sz val="10"/>
            <rFont val="Arial"/>
            <family val="2"/>
          </rPr>
          <t>10 entrada ilha do sol norte, 5 entrada sul.
Tinha que pagar 15 da travessia, mas passamos sem pagar porque não havia ninguém cobrando</t>
        </r>
      </text>
    </comment>
    <comment ref="J19" authorId="0">
      <text>
        <r>
          <rPr>
            <sz val="10"/>
            <rFont val="Arial"/>
            <family val="2"/>
          </rPr>
          <t>6 botões, um carretel de linha e um isqueiro</t>
        </r>
      </text>
    </comment>
    <comment ref="B23" authorId="0">
      <text>
        <r>
          <rPr>
            <sz val="10"/>
            <rFont val="Arial"/>
            <family val="2"/>
          </rPr>
          <t>Ônibus para Cusco que compramos adiantado</t>
        </r>
      </text>
    </comment>
    <comment ref="H24" authorId="0">
      <text>
        <r>
          <rPr>
            <sz val="10"/>
            <rFont val="Arial"/>
            <family val="2"/>
          </rPr>
          <t>Passeio no barco das ilhas Uros. Era 10 por pessoa, mas ele fez 10 para os dois para nós</t>
        </r>
      </text>
    </comment>
    <comment ref="J24" authorId="0">
      <text>
        <r>
          <rPr>
            <sz val="10"/>
            <rFont val="Arial"/>
            <family val="2"/>
          </rPr>
          <t>1 – pulseirinha
1,50 – gorjeta para umas crianças que cantaram no barco</t>
        </r>
      </text>
    </comment>
    <comment ref="J25" authorId="0">
      <text>
        <r>
          <rPr>
            <sz val="10"/>
            <rFont val="Arial"/>
            <family val="2"/>
          </rPr>
          <t>1 de gorjeta
3 de entrada no terminal</t>
        </r>
      </text>
    </comment>
    <comment ref="B26" authorId="0">
      <text>
        <r>
          <rPr>
            <sz val="10"/>
            <rFont val="Arial"/>
            <family val="2"/>
          </rPr>
          <t>Táxi até o centro</t>
        </r>
      </text>
    </comment>
    <comment ref="H27" authorId="0">
      <text>
        <r>
          <rPr>
            <sz val="10"/>
            <rFont val="Arial"/>
            <family val="2"/>
          </rPr>
          <t>15 – entrada em um museu
130 – Passe turista para ver ruínas ao redor da cidade</t>
        </r>
      </text>
    </comment>
    <comment ref="F29" authorId="0">
      <text>
        <r>
          <rPr>
            <sz val="10"/>
            <rFont val="Arial"/>
            <family val="2"/>
          </rPr>
          <t>Tomamos uma cerveja no restaurante que era incluido no passeio</t>
        </r>
      </text>
    </comment>
    <comment ref="J29" authorId="0">
      <text>
        <r>
          <rPr>
            <sz val="10"/>
            <rFont val="Arial"/>
            <family val="2"/>
          </rPr>
          <t>Compramos duas pulseirinhas para ajudar umas crianças</t>
        </r>
      </text>
    </comment>
    <comment ref="B32" authorId="0">
      <text>
        <r>
          <rPr>
            <sz val="10"/>
            <rFont val="Arial"/>
            <family val="2"/>
          </rPr>
          <t>8 – Caminhão até o pueblo
10 - Com uma agência que havia sobrado lugar na van</t>
        </r>
      </text>
    </comment>
    <comment ref="H32" authorId="0">
      <text>
        <r>
          <rPr>
            <sz val="10"/>
            <rFont val="Arial"/>
            <family val="2"/>
          </rPr>
          <t>Entrada para o cerro colorido</t>
        </r>
      </text>
    </comment>
    <comment ref="J32" authorId="0">
      <text>
        <r>
          <rPr>
            <sz val="10"/>
            <rFont val="Arial"/>
            <family val="2"/>
          </rPr>
          <t>Demos uma gorjeta a um menino para cuidar de nossas mochilas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rFont val="Arial"/>
            <family val="2"/>
          </rPr>
          <t>Entradas em Machu Picchu e nas Salineras</t>
        </r>
      </text>
    </comment>
    <comment ref="J3" authorId="0">
      <text>
        <r>
          <rPr>
            <sz val="10"/>
            <rFont val="Arial"/>
            <family val="2"/>
          </rPr>
          <t>Livro</t>
        </r>
      </text>
    </comment>
    <comment ref="J5" authorId="0">
      <text>
        <r>
          <rPr>
            <sz val="10"/>
            <rFont val="Arial"/>
            <family val="2"/>
          </rPr>
          <t>Banheiro</t>
        </r>
      </text>
    </comment>
    <comment ref="L5" authorId="0">
      <text>
        <r>
          <rPr>
            <sz val="10"/>
            <rFont val="Arial"/>
            <family val="2"/>
          </rPr>
          <t>Precisamos sair cedo para não perder a van, e ninguém estava lá para cobrar</t>
        </r>
      </text>
    </comment>
    <comment ref="B7" authorId="0">
      <text>
        <r>
          <rPr>
            <sz val="10"/>
            <rFont val="Arial"/>
            <family val="2"/>
          </rPr>
          <t>Ônibus para Nazca. 1,40 de ônibus local até a rodoviária</t>
        </r>
      </text>
    </comment>
    <comment ref="J7" authorId="0">
      <text>
        <r>
          <rPr>
            <sz val="10"/>
            <rFont val="Arial"/>
            <family val="2"/>
          </rPr>
          <t>Lavanderia</t>
        </r>
      </text>
    </comment>
    <comment ref="J8" authorId="0">
      <text>
        <r>
          <rPr>
            <sz val="10"/>
            <rFont val="Arial"/>
            <family val="2"/>
          </rPr>
          <t>Lavanderia</t>
        </r>
      </text>
    </comment>
    <comment ref="B11" authorId="0">
      <text>
        <r>
          <rPr>
            <sz val="10"/>
            <rFont val="Arial"/>
            <family val="2"/>
          </rPr>
          <t>Táxi até o cemitério de Chauchilla. Voltamos de carona</t>
        </r>
      </text>
    </comment>
    <comment ref="H12" authorId="0">
      <text>
        <r>
          <rPr>
            <sz val="10"/>
            <rFont val="Arial"/>
            <family val="2"/>
          </rPr>
          <t>Entrada para o mirador das linhas de Nasca</t>
        </r>
      </text>
    </comment>
    <comment ref="H14" authorId="0">
      <text>
        <r>
          <rPr>
            <sz val="10"/>
            <rFont val="Arial"/>
            <family val="2"/>
          </rPr>
          <t>Entrada para as dunas e táxi até onde pegamos a van</t>
        </r>
      </text>
    </comment>
    <comment ref="J16" authorId="0">
      <text>
        <r>
          <rPr>
            <sz val="10"/>
            <rFont val="Arial"/>
            <family val="2"/>
          </rPr>
          <t>Ligação para hotel</t>
        </r>
      </text>
    </comment>
    <comment ref="L16" authorId="0">
      <text>
        <r>
          <rPr>
            <sz val="10"/>
            <rFont val="Arial"/>
            <family val="2"/>
          </rPr>
          <t>Hotel nos deu hospedagem em troca de algumas fotos</t>
        </r>
      </text>
    </comment>
    <comment ref="B20" authorId="0">
      <text>
        <r>
          <rPr>
            <sz val="10"/>
            <rFont val="Arial"/>
            <family val="2"/>
          </rPr>
          <t>Ida e volta até Pachacamac</t>
        </r>
      </text>
    </comment>
    <comment ref="B21" authorId="0">
      <text>
        <r>
          <rPr>
            <sz val="10"/>
            <rFont val="Arial"/>
            <family val="2"/>
          </rPr>
          <t>Transporte até a rodoviária, e de lá até Caleta Vidal</t>
        </r>
      </text>
    </comment>
    <comment ref="L21" authorId="0">
      <text>
        <r>
          <rPr>
            <sz val="10"/>
            <rFont val="Arial"/>
            <family val="2"/>
          </rPr>
          <t>Conseguimos hospedagem grátis em Caleta Vidal em troca de divulgarmos a praia</t>
        </r>
      </text>
    </comment>
    <comment ref="B22" authorId="0">
      <text>
        <r>
          <rPr>
            <sz val="10"/>
            <rFont val="Arial"/>
            <family val="2"/>
          </rPr>
          <t>2 soles até Supe, e 4 cada um até Caral</t>
        </r>
      </text>
    </comment>
    <comment ref="H22" authorId="0">
      <text>
        <r>
          <rPr>
            <sz val="10"/>
            <rFont val="Arial"/>
            <family val="2"/>
          </rPr>
          <t>11 na entrada + 10 de guia (o guia era 20, mas dividimos com um outro carinha que quis pagar 10)</t>
        </r>
      </text>
    </comment>
    <comment ref="L23" authorId="0">
      <text>
        <r>
          <rPr>
            <sz val="10"/>
            <rFont val="Arial"/>
            <family val="2"/>
          </rPr>
          <t>Ganhamos hospedagem em um hotel em Huaraz</t>
        </r>
      </text>
    </comment>
    <comment ref="H24" authorId="0">
      <text>
        <r>
          <rPr>
            <sz val="10"/>
            <rFont val="Arial"/>
            <family val="2"/>
          </rPr>
          <t xml:space="preserve">Excursão para as geleiras e para Chvain
</t>
        </r>
      </text>
    </comment>
    <comment ref="H25" authorId="0">
      <text>
        <r>
          <rPr>
            <sz val="10"/>
            <rFont val="Arial"/>
            <family val="2"/>
          </rPr>
          <t>Entrada para Chavin</t>
        </r>
      </text>
    </comment>
    <comment ref="H26" authorId="0">
      <text>
        <r>
          <rPr>
            <sz val="10"/>
            <rFont val="Arial"/>
            <family val="2"/>
          </rPr>
          <t xml:space="preserve">Entradas para o glacial
</t>
        </r>
      </text>
    </comment>
    <comment ref="J26" authorId="0">
      <text>
        <r>
          <rPr>
            <sz val="10"/>
            <rFont val="Arial"/>
            <family val="2"/>
          </rPr>
          <t>Banheiro</t>
        </r>
      </text>
    </comment>
    <comment ref="H27" authorId="0">
      <text>
        <r>
          <rPr>
            <sz val="10"/>
            <rFont val="Arial"/>
            <family val="2"/>
          </rPr>
          <t>Entrada para a Laguna 69</t>
        </r>
      </text>
    </comment>
    <comment ref="B28" authorId="0">
      <text>
        <r>
          <rPr>
            <sz val="10"/>
            <rFont val="Arial"/>
            <family val="2"/>
          </rPr>
          <t>Passagem para Trujillo e passagem de ida e volta para Yungay</t>
        </r>
      </text>
    </comment>
    <comment ref="H28" authorId="0">
      <text>
        <r>
          <rPr>
            <sz val="10"/>
            <rFont val="Arial"/>
            <family val="2"/>
          </rPr>
          <t>Entrada para Yungay</t>
        </r>
      </text>
    </comment>
    <comment ref="B31" authorId="0">
      <text>
        <r>
          <rPr>
            <sz val="10"/>
            <rFont val="Arial"/>
            <family val="2"/>
          </rPr>
          <t xml:space="preserve">1,50 até Chan Chan + 1 do Museu de Chan Chan até Huaca Esmeralda 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J2" authorId="0">
      <text>
        <r>
          <rPr>
            <sz val="10"/>
            <rFont val="Arial"/>
            <family val="2"/>
          </rPr>
          <t xml:space="preserve">Remédios
</t>
        </r>
      </text>
    </comment>
    <comment ref="B3" authorId="0">
      <text>
        <r>
          <rPr>
            <sz val="10"/>
            <rFont val="Arial"/>
            <family val="2"/>
          </rPr>
          <t xml:space="preserve">Ônibus de ida e volta para as Huacas de Sol e Luna
</t>
        </r>
      </text>
    </comment>
    <comment ref="B4" authorId="0">
      <text>
        <r>
          <rPr>
            <sz val="10"/>
            <rFont val="Arial"/>
            <family val="2"/>
          </rPr>
          <t>14 – trujillo Chiclayo
30 – Chiclayo - Chachapoya</t>
        </r>
      </text>
    </comment>
    <comment ref="B6" authorId="0">
      <text>
        <r>
          <rPr>
            <sz val="10"/>
            <rFont val="Arial"/>
            <family val="2"/>
          </rPr>
          <t>Passagens para Kuelap</t>
        </r>
      </text>
    </comment>
    <comment ref="H7" authorId="0">
      <text>
        <r>
          <rPr>
            <sz val="10"/>
            <rFont val="Arial"/>
            <family val="2"/>
          </rPr>
          <t>Entradas para Kuelap</t>
        </r>
      </text>
    </comment>
    <comment ref="B9" authorId="0">
      <text>
        <r>
          <rPr>
            <sz val="10"/>
            <rFont val="Arial"/>
            <family val="2"/>
          </rPr>
          <t>Passagem desde tarapoto (20) e 200 do barco</t>
        </r>
      </text>
    </comment>
    <comment ref="J9" authorId="0">
      <text>
        <r>
          <rPr>
            <sz val="10"/>
            <rFont val="Arial"/>
            <family val="2"/>
          </rPr>
          <t>Rede para dormir</t>
        </r>
      </text>
    </comment>
    <comment ref="B14" authorId="0">
      <text>
        <r>
          <rPr>
            <sz val="10"/>
            <rFont val="Arial"/>
            <family val="2"/>
          </rPr>
          <t>Para ir e voltar do zoologico</t>
        </r>
      </text>
    </comment>
    <comment ref="H14" authorId="0">
      <text>
        <r>
          <rPr>
            <sz val="10"/>
            <rFont val="Arial"/>
            <family val="2"/>
          </rPr>
          <t>Zoologico</t>
        </r>
      </text>
    </comment>
    <comment ref="J15" authorId="0">
      <text>
        <r>
          <rPr>
            <sz val="10"/>
            <rFont val="Arial"/>
            <family val="2"/>
          </rPr>
          <t>Sorvete</t>
        </r>
      </text>
    </comment>
    <comment ref="J16" authorId="0">
      <text>
        <r>
          <rPr>
            <sz val="10"/>
            <rFont val="Arial"/>
            <family val="2"/>
          </rPr>
          <t>Artesanato</t>
        </r>
      </text>
    </comment>
    <comment ref="F17" authorId="0">
      <text>
        <r>
          <rPr>
            <sz val="10"/>
            <rFont val="Arial"/>
            <family val="2"/>
          </rPr>
          <t>cerveja</t>
        </r>
      </text>
    </comment>
    <comment ref="J17" authorId="0">
      <text>
        <r>
          <rPr>
            <sz val="10"/>
            <rFont val="Arial"/>
            <family val="2"/>
          </rPr>
          <t xml:space="preserve">Lavanderia e remedios para dor de barriga
</t>
        </r>
      </text>
    </comment>
    <comment ref="J19" authorId="0">
      <text>
        <r>
          <rPr>
            <sz val="10"/>
            <rFont val="Arial"/>
            <family val="2"/>
          </rPr>
          <t>Tomando Ayuasca (santo daime). Só o Renan tomou</t>
        </r>
      </text>
    </comment>
    <comment ref="B22" authorId="0">
      <text>
        <r>
          <rPr>
            <sz val="10"/>
            <rFont val="Arial"/>
            <family val="2"/>
          </rPr>
          <t>Barco de Iquitos a Yurimaguas</t>
        </r>
      </text>
    </comment>
    <comment ref="J22" authorId="0">
      <text>
        <r>
          <rPr>
            <sz val="10"/>
            <rFont val="Arial"/>
            <family val="2"/>
          </rPr>
          <t>Caiu na privada :B</t>
        </r>
      </text>
    </comment>
    <comment ref="B25" authorId="0">
      <text>
        <r>
          <rPr>
            <sz val="10"/>
            <rFont val="Arial"/>
            <family val="2"/>
          </rPr>
          <t>Transporte para Tarapoto e moto-taxis</t>
        </r>
      </text>
    </comment>
    <comment ref="B26" authorId="0">
      <text>
        <r>
          <rPr>
            <sz val="10"/>
            <rFont val="Arial"/>
            <family val="2"/>
          </rPr>
          <t xml:space="preserve">Transporte para Jaén
</t>
        </r>
      </text>
    </comment>
    <comment ref="B28" authorId="0">
      <text>
        <r>
          <rPr>
            <sz val="10"/>
            <rFont val="Arial"/>
            <family val="2"/>
          </rPr>
          <t>Transporte desde Jaén até a fronteira</t>
        </r>
      </text>
    </comment>
    <comment ref="B31" authorId="0">
      <text>
        <r>
          <rPr>
            <sz val="10"/>
            <rFont val="Arial"/>
            <family val="2"/>
          </rPr>
          <t>Para ir até uma cidadezinha perto de Vilcabamba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7" authorId="0">
      <text>
        <r>
          <rPr>
            <sz val="10"/>
            <rFont val="Arial"/>
            <family val="2"/>
          </rPr>
          <t>Fomos numa festa que era 5 dólares a entrada</t>
        </r>
      </text>
    </comment>
    <comment ref="J7" authorId="0">
      <text>
        <r>
          <rPr>
            <sz val="10"/>
            <rFont val="Arial"/>
            <family val="2"/>
          </rPr>
          <t>Ligação de telefone</t>
        </r>
      </text>
    </comment>
    <comment ref="H9" authorId="0">
      <text>
        <r>
          <rPr>
            <sz val="10"/>
            <rFont val="Arial"/>
            <family val="2"/>
          </rPr>
          <t>Fomos em um bar</t>
        </r>
      </text>
    </comment>
    <comment ref="L12" authorId="0">
      <text>
        <r>
          <rPr>
            <sz val="10"/>
            <rFont val="Arial"/>
            <family val="2"/>
          </rPr>
          <t>Alugamos um quarto por 60 dólares – 15 dias</t>
        </r>
      </text>
    </comment>
    <comment ref="B19" authorId="0">
      <text>
        <r>
          <rPr>
            <sz val="10"/>
            <rFont val="Arial"/>
            <family val="2"/>
          </rPr>
          <t>5 para ir e 5 para voltar de Puerto Lopez</t>
        </r>
      </text>
    </comment>
    <comment ref="H19" authorId="0">
      <text>
        <r>
          <rPr>
            <sz val="10"/>
            <rFont val="Arial"/>
            <family val="2"/>
          </rPr>
          <t>Taxa de embarque no porto</t>
        </r>
      </text>
    </comment>
    <comment ref="B20" authorId="0">
      <text>
        <r>
          <rPr>
            <sz val="10"/>
            <rFont val="Arial"/>
            <family val="2"/>
          </rPr>
          <t>Para ir e voltar de Los Frailes. Uma parte na ida conseguimos ir de carona</t>
        </r>
      </text>
    </comment>
    <comment ref="J26" authorId="0">
      <text>
        <r>
          <rPr>
            <sz val="10"/>
            <rFont val="Arial"/>
            <family val="2"/>
          </rPr>
          <t>Lavagem de roupa</t>
        </r>
      </text>
    </comment>
    <comment ref="B27" authorId="0">
      <text>
        <r>
          <rPr>
            <sz val="10"/>
            <rFont val="Arial"/>
            <family val="2"/>
          </rPr>
          <t>Metade do caminho até Guayaquil de carona; restante 2 por pessoa. De Guayaquil a Riobamba 5. ônibus em Riobamba 0,30</t>
        </r>
      </text>
    </comment>
    <comment ref="J28" authorId="0">
      <text>
        <r>
          <rPr>
            <sz val="10"/>
            <rFont val="Arial"/>
            <family val="2"/>
          </rPr>
          <t xml:space="preserve">Chip da Claro para o tablet
</t>
        </r>
      </text>
    </comment>
    <comment ref="N28" authorId="0">
      <text>
        <r>
          <rPr>
            <sz val="10"/>
            <rFont val="Arial"/>
            <family val="2"/>
          </rPr>
          <t>Compramos um tablet novo porque o antigo estragou</t>
        </r>
      </text>
    </comment>
    <comment ref="B29" authorId="0">
      <text>
        <r>
          <rPr>
            <sz val="10"/>
            <rFont val="Arial"/>
            <family val="2"/>
          </rPr>
          <t>4 de ônibus para Baños. Os outros foram de táxi (esqueci meu relógio no hotel e precisei voltar; um dos trâmites fiz de ônibus)</t>
        </r>
      </text>
    </comment>
    <comment ref="B30" authorId="0">
      <text>
        <r>
          <rPr>
            <sz val="10"/>
            <rFont val="Arial"/>
            <family val="2"/>
          </rPr>
          <t>Ônibus até a casa da árvore</t>
        </r>
      </text>
    </comment>
    <comment ref="H30" authorId="0">
      <text>
        <r>
          <rPr>
            <sz val="10"/>
            <rFont val="Arial"/>
            <family val="2"/>
          </rPr>
          <t>Entradas para a casa da árvore</t>
        </r>
      </text>
    </comment>
    <comment ref="B31" authorId="0">
      <text>
        <r>
          <rPr>
            <sz val="10"/>
            <rFont val="Arial"/>
            <family val="2"/>
          </rPr>
          <t>50 centavos por pessoa para ir até o canopy + 50 para voltar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rFont val="Arial"/>
            <family val="2"/>
          </rPr>
          <t>1,50 pp de entrada no Paillon + 7 do balanço</t>
        </r>
      </text>
    </comment>
    <comment ref="B7" authorId="0">
      <text>
        <r>
          <rPr>
            <sz val="10"/>
            <rFont val="Arial"/>
            <family val="2"/>
          </rPr>
          <t>Ônibus de ida e volta da lagoa quilotoa</t>
        </r>
      </text>
    </comment>
    <comment ref="H7" authorId="0">
      <text>
        <r>
          <rPr>
            <sz val="10"/>
            <rFont val="Arial"/>
            <family val="2"/>
          </rPr>
          <t>Entrada para o Quilotoa</t>
        </r>
      </text>
    </comment>
    <comment ref="B9" authorId="0">
      <text>
        <r>
          <rPr>
            <sz val="10"/>
            <rFont val="Arial"/>
            <family val="2"/>
          </rPr>
          <t>Passagem de Latacunga a Quito</t>
        </r>
      </text>
    </comment>
    <comment ref="B15" authorId="0">
      <text>
        <r>
          <rPr>
            <sz val="10"/>
            <rFont val="Arial"/>
            <family val="2"/>
          </rPr>
          <t>Ônibus até Otavalo e os deslocamentos locais</t>
        </r>
      </text>
    </comment>
    <comment ref="J15" authorId="0">
      <text>
        <r>
          <rPr>
            <sz val="10"/>
            <rFont val="Arial"/>
            <family val="2"/>
          </rPr>
          <t>Cervejas</t>
        </r>
      </text>
    </comment>
    <comment ref="B16" authorId="0">
      <text>
        <r>
          <rPr>
            <sz val="10"/>
            <rFont val="Arial"/>
            <family val="2"/>
          </rPr>
          <t>Para ir e voltar da cachoeira</t>
        </r>
      </text>
    </comment>
    <comment ref="H17" authorId="0">
      <text>
        <r>
          <rPr>
            <sz val="10"/>
            <rFont val="Arial"/>
            <family val="2"/>
          </rPr>
          <t>De barco pelo lago</t>
        </r>
      </text>
    </comment>
    <comment ref="J17" authorId="0">
      <text>
        <r>
          <rPr>
            <sz val="10"/>
            <rFont val="Arial"/>
            <family val="2"/>
          </rPr>
          <t>cerveja</t>
        </r>
      </text>
    </comment>
    <comment ref="J19" authorId="0">
      <text>
        <r>
          <rPr>
            <sz val="10"/>
            <rFont val="Arial"/>
            <family val="2"/>
          </rPr>
          <t>Xerox na fronteira</t>
        </r>
      </text>
    </comment>
    <comment ref="B21" authorId="0">
      <text>
        <r>
          <rPr>
            <sz val="10"/>
            <rFont val="Arial"/>
            <family val="2"/>
          </rPr>
          <t>Ida e volta de Las Lajas; na ida cobraram 2200, na volta 2000</t>
        </r>
      </text>
    </comment>
    <comment ref="B22" authorId="0">
      <text>
        <r>
          <rPr>
            <sz val="10"/>
            <rFont val="Arial"/>
            <family val="2"/>
          </rPr>
          <t>Ônibus para Popayan</t>
        </r>
      </text>
    </comment>
    <comment ref="J22" authorId="0">
      <text>
        <r>
          <rPr>
            <sz val="10"/>
            <rFont val="Arial"/>
            <family val="2"/>
          </rPr>
          <t>Para usar o banheiro do terminal</t>
        </r>
      </text>
    </comment>
    <comment ref="J23" authorId="0">
      <text>
        <r>
          <rPr>
            <sz val="10"/>
            <rFont val="Arial"/>
            <family val="2"/>
          </rPr>
          <t>Tomamos um café Juan Valdez</t>
        </r>
      </text>
    </comment>
    <comment ref="B25" authorId="0">
      <text>
        <r>
          <rPr>
            <sz val="10"/>
            <rFont val="Arial"/>
            <family val="2"/>
          </rPr>
          <t>Duas passagens para Tierradentro</t>
        </r>
      </text>
    </comment>
    <comment ref="F25" authorId="0">
      <text>
        <r>
          <rPr>
            <sz val="10"/>
            <rFont val="Arial"/>
            <family val="2"/>
          </rPr>
          <t>Macarrão de jantar na nossa hospedagem</t>
        </r>
      </text>
    </comment>
    <comment ref="B28" authorId="0">
      <text>
        <r>
          <rPr>
            <sz val="10"/>
            <rFont val="Arial"/>
            <family val="2"/>
          </rPr>
          <t>Passagem de Tierradentro a La Plata, e de La Plata a Neiva</t>
        </r>
      </text>
    </comment>
    <comment ref="J29" authorId="0">
      <text>
        <r>
          <rPr>
            <sz val="10"/>
            <rFont val="Arial"/>
            <family val="2"/>
          </rPr>
          <t>Compra de um chip da Claro, com 2000 de créditos</t>
        </r>
      </text>
    </comment>
    <comment ref="J30" authorId="0">
      <text>
        <r>
          <rPr>
            <sz val="10"/>
            <rFont val="Arial"/>
            <family val="2"/>
          </rPr>
          <t>Pagamos uns refrigerantes e umas cervejas</t>
        </r>
      </text>
    </comment>
    <comment ref="J31" authorId="0">
      <text>
        <r>
          <rPr>
            <sz val="10"/>
            <rFont val="Arial"/>
            <family val="2"/>
          </rPr>
          <t>Recarga celular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Villavieja a Neiva, 2 pessoas</t>
        </r>
      </text>
    </comment>
    <comment ref="B3" authorId="0">
      <text>
        <r>
          <rPr>
            <sz val="10"/>
            <rFont val="Arial"/>
            <family val="2"/>
          </rPr>
          <t>Táxi do centro até o hotel, porque estava chovendo e as ruas estavam meio desertas</t>
        </r>
      </text>
    </comment>
    <comment ref="B8" authorId="0">
      <text>
        <r>
          <rPr>
            <sz val="10"/>
            <rFont val="Arial"/>
            <family val="2"/>
          </rPr>
          <t>Ônibus para ir e voltar da loja onde vendia isolante térmico</t>
        </r>
      </text>
    </comment>
    <comment ref="H8" authorId="0">
      <text>
        <r>
          <rPr>
            <sz val="10"/>
            <rFont val="Arial"/>
            <family val="2"/>
          </rPr>
          <t>Entrada para balada de salsa – 2 mil de entrada + 8 mil consumível</t>
        </r>
      </text>
    </comment>
    <comment ref="J8" authorId="0">
      <text>
        <r>
          <rPr>
            <sz val="10"/>
            <rFont val="Arial"/>
            <family val="2"/>
          </rPr>
          <t>Ajudamos um menino que vendia balas na rua</t>
        </r>
      </text>
    </comment>
    <comment ref="B10" authorId="0">
      <text>
        <r>
          <rPr>
            <sz val="10"/>
            <rFont val="Arial"/>
            <family val="2"/>
          </rPr>
          <t>18000 Passagem para Armenia. 1800 passagem de ônibus para o terminal</t>
        </r>
      </text>
    </comment>
    <comment ref="B12" authorId="0">
      <text>
        <r>
          <rPr>
            <sz val="10"/>
            <rFont val="Arial"/>
            <family val="2"/>
          </rPr>
          <t>Passagem de Armenia para Salento</t>
        </r>
      </text>
    </comment>
    <comment ref="B13" authorId="0">
      <text>
        <r>
          <rPr>
            <sz val="10"/>
            <rFont val="Arial"/>
            <family val="2"/>
          </rPr>
          <t>Ida e volta do Cocora + ida para Pereira</t>
        </r>
      </text>
    </comment>
    <comment ref="F13" authorId="0">
      <text>
        <r>
          <rPr>
            <sz val="10"/>
            <rFont val="Arial"/>
            <family val="2"/>
          </rPr>
          <t>Janta em Pereira</t>
        </r>
      </text>
    </comment>
    <comment ref="F14" authorId="0">
      <text>
        <r>
          <rPr>
            <sz val="10"/>
            <rFont val="Arial"/>
            <family val="2"/>
          </rPr>
          <t>Hoje nos pagaram o almoço!</t>
        </r>
      </text>
    </comment>
    <comment ref="B16" authorId="0">
      <text>
        <r>
          <rPr>
            <sz val="10"/>
            <rFont val="Arial"/>
            <family val="2"/>
          </rPr>
          <t>4 passagens de metrô</t>
        </r>
      </text>
    </comment>
    <comment ref="F16" authorId="0">
      <text>
        <r>
          <rPr>
            <sz val="10"/>
            <rFont val="Arial"/>
            <family val="2"/>
          </rPr>
          <t>Dois pedaços de frango</t>
        </r>
      </text>
    </comment>
    <comment ref="B17" authorId="0">
      <text>
        <r>
          <rPr>
            <sz val="10"/>
            <rFont val="Arial"/>
            <family val="2"/>
          </rPr>
          <t>Carga de 6 passagens de metrô + passagens de ônibus para ir e voltar do bairro do Pablo Escobar</t>
        </r>
      </text>
    </comment>
    <comment ref="F17" authorId="0">
      <text>
        <r>
          <rPr>
            <sz val="10"/>
            <rFont val="Arial"/>
            <family val="2"/>
          </rPr>
          <t>Almoçamos no bairro do Pablo Escobar</t>
        </r>
      </text>
    </comment>
    <comment ref="B19" authorId="0">
      <text>
        <r>
          <rPr>
            <sz val="10"/>
            <rFont val="Arial"/>
            <family val="2"/>
          </rPr>
          <t>Passagens de metrô</t>
        </r>
      </text>
    </comment>
    <comment ref="J19" authorId="0">
      <text>
        <r>
          <rPr>
            <sz val="10"/>
            <rFont val="Arial"/>
            <family val="2"/>
          </rPr>
          <t>Demos para um artista de rua</t>
        </r>
      </text>
    </comment>
    <comment ref="F20" authorId="0">
      <text>
        <r>
          <rPr>
            <sz val="10"/>
            <rFont val="Arial"/>
            <family val="2"/>
          </rPr>
          <t>Dois x-saladas no centro</t>
        </r>
      </text>
    </comment>
    <comment ref="J22" authorId="0">
      <text>
        <r>
          <rPr>
            <sz val="10"/>
            <rFont val="Arial"/>
            <family val="2"/>
          </rPr>
          <t>sorvete</t>
        </r>
      </text>
    </comment>
    <comment ref="F23" authorId="0">
      <text>
        <r>
          <rPr>
            <sz val="10"/>
            <rFont val="Arial"/>
            <family val="2"/>
          </rPr>
          <t>x-salada</t>
        </r>
      </text>
    </comment>
    <comment ref="B27" authorId="0">
      <text>
        <r>
          <rPr>
            <sz val="10"/>
            <rFont val="Arial"/>
            <family val="2"/>
          </rPr>
          <t>Passagens para Guatape</t>
        </r>
      </text>
    </comment>
    <comment ref="F27" authorId="0">
      <text>
        <r>
          <rPr>
            <sz val="10"/>
            <rFont val="Arial"/>
            <family val="2"/>
          </rPr>
          <t>Janta</t>
        </r>
      </text>
    </comment>
    <comment ref="B28" authorId="0">
      <text>
        <r>
          <rPr>
            <sz val="10"/>
            <rFont val="Arial"/>
            <family val="2"/>
          </rPr>
          <t>Transporte até a Pedra do Peñol</t>
        </r>
      </text>
    </comment>
    <comment ref="H28" authorId="0">
      <text>
        <r>
          <rPr>
            <sz val="10"/>
            <rFont val="Arial"/>
            <family val="2"/>
          </rPr>
          <t>15 mil – entrada para a Pedra do Peñol por pessoa
15 mil – passeio de barco por pessoa.
Mil – entrada no museu da cidade de Penol (por pessoa)
mil – gorjeta para o guia</t>
        </r>
      </text>
    </comment>
    <comment ref="B29" authorId="0">
      <text>
        <r>
          <rPr>
            <sz val="10"/>
            <rFont val="Arial"/>
            <family val="2"/>
          </rPr>
          <t>13 – passagem de Guatapé a Medellin
50 – Medellín &gt; Bogotá</t>
        </r>
      </text>
    </comment>
    <comment ref="J29" authorId="0">
      <text>
        <r>
          <rPr>
            <sz val="10"/>
            <rFont val="Arial"/>
            <family val="2"/>
          </rPr>
          <t>Crédito para o celular e banheiro no terminal</t>
        </r>
      </text>
    </comment>
    <comment ref="N29" authorId="0">
      <text>
        <r>
          <rPr>
            <sz val="10"/>
            <rFont val="Arial"/>
            <family val="2"/>
          </rPr>
          <t>Chinelos novos para a Michele</t>
        </r>
      </text>
    </comment>
    <comment ref="B30" authorId="0">
      <text>
        <r>
          <rPr>
            <sz val="10"/>
            <rFont val="Arial"/>
            <family val="2"/>
          </rPr>
          <t>Ônibus da rodoviária até o hotel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H2" authorId="0">
      <text>
        <r>
          <rPr>
            <sz val="10"/>
            <rFont val="Arial"/>
            <family val="2"/>
          </rPr>
          <t>Duas entradas para o Museu Nacional</t>
        </r>
      </text>
    </comment>
    <comment ref="D3" authorId="0">
      <text>
        <r>
          <rPr>
            <sz val="10"/>
            <rFont val="Arial"/>
            <family val="2"/>
          </rPr>
          <t>Compramos a sobremesa</t>
        </r>
      </text>
    </comment>
    <comment ref="D4" authorId="0">
      <text>
        <r>
          <rPr>
            <sz val="10"/>
            <rFont val="Arial"/>
            <family val="2"/>
          </rPr>
          <t>Sobremesa de novo :D
5 mil de pão</t>
        </r>
      </text>
    </comment>
    <comment ref="B5" authorId="0">
      <text>
        <r>
          <rPr>
            <sz val="10"/>
            <rFont val="Arial"/>
            <family val="2"/>
          </rPr>
          <t>Ônibus local em Bogotá</t>
        </r>
      </text>
    </comment>
    <comment ref="B7" authorId="0">
      <text>
        <r>
          <rPr>
            <sz val="10"/>
            <rFont val="Arial"/>
            <family val="2"/>
          </rPr>
          <t>Recarga do cartão de transporte de Bogotá</t>
        </r>
      </text>
    </comment>
    <comment ref="B8" authorId="0">
      <text>
        <r>
          <rPr>
            <sz val="10"/>
            <rFont val="Arial"/>
            <family val="2"/>
          </rPr>
          <t>4800 – Cada passagem para Zipaquirá;
4000 – recarga do cartão de transporte em Bogotá</t>
        </r>
      </text>
    </comment>
    <comment ref="J8" authorId="0">
      <text>
        <r>
          <rPr>
            <sz val="10"/>
            <rFont val="Arial"/>
            <family val="2"/>
          </rPr>
          <t>Gorjeta para um artista de rua no ônibus</t>
        </r>
      </text>
    </comment>
    <comment ref="B9" authorId="0">
      <text>
        <r>
          <rPr>
            <sz val="10"/>
            <rFont val="Arial"/>
            <family val="2"/>
          </rPr>
          <t>Recarga bilhete ônibus</t>
        </r>
      </text>
    </comment>
    <comment ref="J9" authorId="0">
      <text>
        <r>
          <rPr>
            <sz val="10"/>
            <rFont val="Arial"/>
            <family val="2"/>
          </rPr>
          <t>Ligação de 4 minutos para a DHL</t>
        </r>
      </text>
    </comment>
    <comment ref="D10" authorId="0">
      <text>
        <r>
          <rPr>
            <sz val="10"/>
            <rFont val="Arial"/>
            <family val="2"/>
          </rPr>
          <t>30 foram de uma garrafa de rum que compramos</t>
        </r>
      </text>
    </comment>
    <comment ref="J10" authorId="0">
      <text>
        <r>
          <rPr>
            <sz val="10"/>
            <rFont val="Arial"/>
            <family val="2"/>
          </rPr>
          <t>Uma criança de rua nos viu com o Mucuvinha e pediu ele de presente.
Como não poderíamos nos desfazer de nosso filho, fomos até uma lojinha e compramos um ursinho para ela.</t>
        </r>
      </text>
    </comment>
    <comment ref="B12" authorId="0">
      <text>
        <r>
          <rPr>
            <sz val="10"/>
            <rFont val="Arial"/>
            <family val="2"/>
          </rPr>
          <t>Ônibus Bogotá-Tunja e Tunja-Villa de Leyva</t>
        </r>
      </text>
    </comment>
    <comment ref="B14" authorId="0">
      <text>
        <r>
          <rPr>
            <sz val="10"/>
            <rFont val="Arial"/>
            <family val="2"/>
          </rPr>
          <t>Transporte de Villa de Leyva até Oiba</t>
        </r>
      </text>
    </comment>
    <comment ref="B15" authorId="0">
      <text>
        <r>
          <rPr>
            <sz val="10"/>
            <rFont val="Arial"/>
            <family val="2"/>
          </rPr>
          <t>Caminhonete de Oibá à Guadalupe</t>
        </r>
      </text>
    </comment>
    <comment ref="L18" authorId="0">
      <text>
        <r>
          <rPr>
            <sz val="10"/>
            <rFont val="Arial"/>
            <family val="2"/>
          </rPr>
          <t>O carinha fez um desconto para nossa 4° noite</t>
        </r>
      </text>
    </comment>
    <comment ref="B19" authorId="0">
      <text>
        <r>
          <rPr>
            <sz val="10"/>
            <rFont val="Arial"/>
            <family val="2"/>
          </rPr>
          <t>Passagem de Guadalupe a Oiba e de Oiba a  Bucaramanga
4000 de ônibus local em Bucaramanga</t>
        </r>
      </text>
    </comment>
    <comment ref="N20" authorId="0">
      <text>
        <r>
          <rPr>
            <sz val="10"/>
            <rFont val="Arial"/>
            <family val="2"/>
          </rPr>
          <t>Comprei uma cueca nova :D</t>
        </r>
      </text>
    </comment>
    <comment ref="B22" authorId="0">
      <text>
        <r>
          <rPr>
            <sz val="10"/>
            <rFont val="Arial"/>
            <family val="2"/>
          </rPr>
          <t>Ônibus local em Bucaramanga, ônibus Bucaramanga – Aguachica, táxi compartilhado Aguachica - Ocaña</t>
        </r>
      </text>
    </comment>
    <comment ref="B23" authorId="0">
      <text>
        <r>
          <rPr>
            <sz val="10"/>
            <rFont val="Arial"/>
            <family val="2"/>
          </rPr>
          <t>Passagens de ida e volta para La Playa</t>
        </r>
      </text>
    </comment>
    <comment ref="B24" authorId="0">
      <text>
        <r>
          <rPr>
            <sz val="10"/>
            <rFont val="Arial"/>
            <family val="2"/>
          </rPr>
          <t>Duas passagens de carro entre Ocaña e Cucuta</t>
        </r>
      </text>
    </comment>
    <comment ref="D24" authorId="0">
      <text>
        <r>
          <rPr>
            <sz val="10"/>
            <rFont val="Arial"/>
            <family val="2"/>
          </rPr>
          <t>Fizemos uma compra grande para levar para a Venezuela</t>
        </r>
      </text>
    </comment>
    <comment ref="B25" authorId="0">
      <text>
        <r>
          <rPr>
            <sz val="10"/>
            <rFont val="Arial"/>
            <family val="2"/>
          </rPr>
          <t>Ônibus até a fronteira</t>
        </r>
      </text>
    </comment>
    <comment ref="D25" authorId="0">
      <text>
        <r>
          <rPr>
            <sz val="10"/>
            <rFont val="Arial"/>
            <family val="2"/>
          </rPr>
          <t>Outra compra grande para a Venezuela</t>
        </r>
      </text>
    </comment>
    <comment ref="B26" authorId="0">
      <text>
        <r>
          <rPr>
            <sz val="10"/>
            <rFont val="Arial"/>
            <family val="2"/>
          </rPr>
          <t>Táxi coletivo da fronteira até San Cristóbal</t>
        </r>
      </text>
    </comment>
    <comment ref="B27" authorId="0">
      <text>
        <r>
          <rPr>
            <sz val="10"/>
            <rFont val="Arial"/>
            <family val="2"/>
          </rPr>
          <t>5000 – duas passagens de ônibus de San Cristóbal a Cúcuta
1100 – táxi do terminal de ônibus ao hotel</t>
        </r>
      </text>
    </comment>
    <comment ref="F27" authorId="0">
      <text>
        <r>
          <rPr>
            <sz val="10"/>
            <rFont val="Arial"/>
            <family val="2"/>
          </rPr>
          <t>2300 – duas empanadas em um restaurante da estrada
4800 – dois pães árabes recheados com carne + suco + 2 quibes</t>
        </r>
      </text>
    </comment>
    <comment ref="B28" authorId="0">
      <text>
        <r>
          <rPr>
            <sz val="10"/>
            <rFont val="Arial"/>
            <family val="2"/>
          </rPr>
          <t>Ônibus municipal em Mérida</t>
        </r>
      </text>
    </comment>
    <comment ref="D28" authorId="0">
      <text>
        <r>
          <rPr>
            <sz val="10"/>
            <rFont val="Arial"/>
            <family val="2"/>
          </rPr>
          <t xml:space="preserve">Em ordem:
-500g de cebola
-900g de guanábana
-1 abacaxi
-1 kg de morango
-400g de tomate
-2 berinjelas
-1 saco de alho e pimenta
</t>
        </r>
      </text>
    </comment>
    <comment ref="B30" authorId="0">
      <text>
        <r>
          <rPr>
            <sz val="10"/>
            <rFont val="Arial"/>
            <family val="2"/>
          </rPr>
          <t>1000 da táxi; 120 de ônibus municipal</t>
        </r>
      </text>
    </comment>
    <comment ref="J32" authorId="0">
      <text>
        <r>
          <rPr>
            <sz val="10"/>
            <rFont val="Arial"/>
            <family val="2"/>
          </rPr>
          <t>Contribuição para uma escola de arte. Fizemos um desenho por este valor para colocar na parede</t>
        </r>
      </text>
    </comment>
    <comment ref="R32" authorId="0">
      <text>
        <r>
          <rPr>
            <sz val="10"/>
            <rFont val="Arial"/>
            <family val="2"/>
          </rPr>
          <t>Na verdade foi em uma rede no lago Maracaibo</t>
        </r>
      </text>
    </comment>
    <comment ref="D33" authorId="0">
      <text>
        <r>
          <rPr>
            <sz val="10"/>
            <rFont val="Arial"/>
            <family val="2"/>
          </rPr>
          <t>Café no museu do café</t>
        </r>
      </text>
    </comment>
    <comment ref="F33" authorId="0">
      <text>
        <r>
          <rPr>
            <sz val="10"/>
            <rFont val="Arial"/>
            <family val="2"/>
          </rPr>
          <t>4 x-saladas de janta + 2 sucos</t>
        </r>
      </text>
    </comment>
    <comment ref="J33" authorId="0">
      <text>
        <r>
          <rPr>
            <sz val="10"/>
            <rFont val="Arial"/>
            <family val="2"/>
          </rPr>
          <t>Banheiro na rodoviária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Ônibus para Cusco que compramos adiantado</t>
        </r>
      </text>
    </comment>
    <comment ref="H4" authorId="0">
      <text>
        <r>
          <rPr>
            <sz val="10"/>
            <rFont val="Arial"/>
            <family val="2"/>
          </rPr>
          <t>Passeio no barco das ilhas Uros. Era 10 por pessoa, mas ele fez 10 para os dois para nós</t>
        </r>
      </text>
    </comment>
    <comment ref="J4" authorId="0">
      <text>
        <r>
          <rPr>
            <sz val="10"/>
            <rFont val="Arial"/>
            <family val="2"/>
          </rPr>
          <t>1 – pulseirinha
1,50 – gorjeta para umas crianças que cantaram no barco</t>
        </r>
      </text>
    </comment>
    <comment ref="J5" authorId="0">
      <text>
        <r>
          <rPr>
            <sz val="10"/>
            <rFont val="Arial"/>
            <family val="2"/>
          </rPr>
          <t>1 de gorjeta
3 de entrada no terminal</t>
        </r>
      </text>
    </comment>
    <comment ref="B6" authorId="0">
      <text>
        <r>
          <rPr>
            <sz val="10"/>
            <rFont val="Arial"/>
            <family val="2"/>
          </rPr>
          <t>Táxi até o centro</t>
        </r>
      </text>
    </comment>
    <comment ref="H7" authorId="0">
      <text>
        <r>
          <rPr>
            <sz val="10"/>
            <rFont val="Arial"/>
            <family val="2"/>
          </rPr>
          <t>15 – entrada em um museu
130 – Passe turista para ver ruínas ao redor da cidade</t>
        </r>
      </text>
    </comment>
    <comment ref="F9" authorId="0">
      <text>
        <r>
          <rPr>
            <sz val="10"/>
            <rFont val="Arial"/>
            <family val="2"/>
          </rPr>
          <t>Tomamos uma cerveja no restaurante que era incluido no passeio</t>
        </r>
      </text>
    </comment>
    <comment ref="J9" authorId="0">
      <text>
        <r>
          <rPr>
            <sz val="10"/>
            <rFont val="Arial"/>
            <family val="2"/>
          </rPr>
          <t>Compramos duas pulseirinhas para ajudar umas crianças</t>
        </r>
      </text>
    </comment>
    <comment ref="B12" authorId="0">
      <text>
        <r>
          <rPr>
            <sz val="10"/>
            <rFont val="Arial"/>
            <family val="2"/>
          </rPr>
          <t>8 – Caminhão até o pueblo
10 - Com uma agência que havia sobrado lugar na van</t>
        </r>
      </text>
    </comment>
    <comment ref="H12" authorId="0">
      <text>
        <r>
          <rPr>
            <sz val="10"/>
            <rFont val="Arial"/>
            <family val="2"/>
          </rPr>
          <t>Entrada para o cerro colorido</t>
        </r>
      </text>
    </comment>
    <comment ref="J12" authorId="0">
      <text>
        <r>
          <rPr>
            <sz val="10"/>
            <rFont val="Arial"/>
            <family val="2"/>
          </rPr>
          <t>Demos uma gorjeta a um menino para cuidar de nossas mochilas</t>
        </r>
      </text>
    </comment>
    <comment ref="H15" authorId="0">
      <text>
        <r>
          <rPr>
            <sz val="10"/>
            <rFont val="Arial"/>
            <family val="2"/>
          </rPr>
          <t>Entradas em Machu Picchu e nas Salineras</t>
        </r>
      </text>
    </comment>
    <comment ref="J15" authorId="0">
      <text>
        <r>
          <rPr>
            <sz val="10"/>
            <rFont val="Arial"/>
            <family val="2"/>
          </rPr>
          <t>Livro</t>
        </r>
      </text>
    </comment>
    <comment ref="J17" authorId="0">
      <text>
        <r>
          <rPr>
            <sz val="10"/>
            <rFont val="Arial"/>
            <family val="2"/>
          </rPr>
          <t>Banheiro</t>
        </r>
      </text>
    </comment>
    <comment ref="L17" authorId="0">
      <text>
        <r>
          <rPr>
            <sz val="10"/>
            <rFont val="Arial"/>
            <family val="2"/>
          </rPr>
          <t>Ninguém apareceu para cobrar</t>
        </r>
      </text>
    </comment>
    <comment ref="B19" authorId="0">
      <text>
        <r>
          <rPr>
            <sz val="10"/>
            <rFont val="Arial"/>
            <family val="2"/>
          </rPr>
          <t>Ônibus para Nazca. 1,40 de ônibus local até a rodoviária</t>
        </r>
      </text>
    </comment>
    <comment ref="J19" authorId="0">
      <text>
        <r>
          <rPr>
            <sz val="10"/>
            <rFont val="Arial"/>
            <family val="2"/>
          </rPr>
          <t>Lavanderia</t>
        </r>
      </text>
    </comment>
    <comment ref="J20" authorId="0">
      <text>
        <r>
          <rPr>
            <sz val="10"/>
            <rFont val="Arial"/>
            <family val="2"/>
          </rPr>
          <t>Lavanderia</t>
        </r>
      </text>
    </comment>
    <comment ref="B23" authorId="0">
      <text>
        <r>
          <rPr>
            <sz val="10"/>
            <rFont val="Arial"/>
            <family val="2"/>
          </rPr>
          <t>Táxi até o cemitério de Chauchilla</t>
        </r>
      </text>
    </comment>
    <comment ref="H24" authorId="0">
      <text>
        <r>
          <rPr>
            <sz val="10"/>
            <rFont val="Arial"/>
            <family val="2"/>
          </rPr>
          <t>Entrada para o mirador das linhas de Nasca</t>
        </r>
      </text>
    </comment>
    <comment ref="H26" authorId="0">
      <text>
        <r>
          <rPr>
            <sz val="10"/>
            <rFont val="Arial"/>
            <family val="2"/>
          </rPr>
          <t>Entrada para as dunas e táxi até onde pegamos a van</t>
        </r>
      </text>
    </comment>
    <comment ref="J28" authorId="0">
      <text>
        <r>
          <rPr>
            <sz val="10"/>
            <rFont val="Arial"/>
            <family val="2"/>
          </rPr>
          <t>Ligação para hotel</t>
        </r>
      </text>
    </comment>
    <comment ref="L28" authorId="0">
      <text>
        <r>
          <rPr>
            <sz val="10"/>
            <rFont val="Arial"/>
            <family val="2"/>
          </rPr>
          <t>Hotel nos deu hospedagem em troca de publicidade</t>
        </r>
      </text>
    </comment>
    <comment ref="B32" authorId="0">
      <text>
        <r>
          <rPr>
            <sz val="10"/>
            <rFont val="Arial"/>
            <family val="2"/>
          </rPr>
          <t>Ida e volta até Pachacamac</t>
        </r>
      </text>
    </comment>
    <comment ref="B33" authorId="0">
      <text>
        <r>
          <rPr>
            <sz val="10"/>
            <rFont val="Arial"/>
            <family val="2"/>
          </rPr>
          <t>Transporte até a rodoviária, e de lá até Caleta Vidal</t>
        </r>
      </text>
    </comment>
    <comment ref="L33" authorId="0">
      <text>
        <r>
          <rPr>
            <sz val="10"/>
            <rFont val="Arial"/>
            <family val="2"/>
          </rPr>
          <t>Conseguimos hospedagem grátis em Caleta Vidal em troca de publicidade</t>
        </r>
      </text>
    </comment>
    <comment ref="B34" authorId="0">
      <text>
        <r>
          <rPr>
            <sz val="10"/>
            <rFont val="Arial"/>
            <family val="2"/>
          </rPr>
          <t>2 soles até Supe, e 4 cada um até Caral</t>
        </r>
      </text>
    </comment>
    <comment ref="H34" authorId="0">
      <text>
        <r>
          <rPr>
            <sz val="10"/>
            <rFont val="Arial"/>
            <family val="2"/>
          </rPr>
          <t>11 na entrada + 10 de guia (o guia era 20, mas dividimos com um outro carinha que quis pagar 10)</t>
        </r>
      </text>
    </comment>
    <comment ref="L35" authorId="0">
      <text>
        <r>
          <rPr>
            <sz val="10"/>
            <rFont val="Arial"/>
            <family val="2"/>
          </rPr>
          <t>Ganhamos hospedagem em um hotel em Huaraz</t>
        </r>
      </text>
    </comment>
    <comment ref="H36" authorId="0">
      <text>
        <r>
          <rPr>
            <sz val="10"/>
            <rFont val="Arial"/>
            <family val="2"/>
          </rPr>
          <t xml:space="preserve">Excursão para as geleiras e para Chvain
</t>
        </r>
      </text>
    </comment>
    <comment ref="H37" authorId="0">
      <text>
        <r>
          <rPr>
            <sz val="10"/>
            <rFont val="Arial"/>
            <family val="2"/>
          </rPr>
          <t>Entrada para Chavin</t>
        </r>
      </text>
    </comment>
    <comment ref="H38" authorId="0">
      <text>
        <r>
          <rPr>
            <sz val="10"/>
            <rFont val="Arial"/>
            <family val="2"/>
          </rPr>
          <t xml:space="preserve">Entradas para o glacial
</t>
        </r>
      </text>
    </comment>
    <comment ref="J38" authorId="0">
      <text>
        <r>
          <rPr>
            <sz val="10"/>
            <rFont val="Arial"/>
            <family val="2"/>
          </rPr>
          <t>Banheiro</t>
        </r>
      </text>
    </comment>
    <comment ref="H39" authorId="0">
      <text>
        <r>
          <rPr>
            <sz val="10"/>
            <rFont val="Arial"/>
            <family val="2"/>
          </rPr>
          <t>Entrada para a Laguna 69</t>
        </r>
      </text>
    </comment>
    <comment ref="B40" authorId="0">
      <text>
        <r>
          <rPr>
            <sz val="10"/>
            <rFont val="Arial"/>
            <family val="2"/>
          </rPr>
          <t>Passagem para Trujillo e passagem de ida e volta para Yungay</t>
        </r>
      </text>
    </comment>
    <comment ref="H40" authorId="0">
      <text>
        <r>
          <rPr>
            <sz val="10"/>
            <rFont val="Arial"/>
            <family val="2"/>
          </rPr>
          <t>Entrada para Yungay</t>
        </r>
      </text>
    </comment>
    <comment ref="B43" authorId="0">
      <text>
        <r>
          <rPr>
            <sz val="10"/>
            <rFont val="Arial"/>
            <family val="2"/>
          </rPr>
          <t xml:space="preserve">1,50 até Chan Chan + 1 do Museu de Chan Chan até Huaca Esmeralda </t>
        </r>
      </text>
    </comment>
    <comment ref="J44" authorId="0">
      <text>
        <r>
          <rPr>
            <sz val="10"/>
            <rFont val="Arial"/>
            <family val="2"/>
          </rPr>
          <t xml:space="preserve">Remédios
</t>
        </r>
      </text>
    </comment>
    <comment ref="B45" authorId="0">
      <text>
        <r>
          <rPr>
            <sz val="10"/>
            <rFont val="Arial"/>
            <family val="2"/>
          </rPr>
          <t xml:space="preserve">Ônibus de ida e volta para as Huacas de Sol e Luna
</t>
        </r>
      </text>
    </comment>
    <comment ref="B46" authorId="0">
      <text>
        <r>
          <rPr>
            <sz val="10"/>
            <rFont val="Arial"/>
            <family val="2"/>
          </rPr>
          <t>14 – trujillo Chiclayo
30 – Chiclayo - Chachapoya</t>
        </r>
      </text>
    </comment>
    <comment ref="B48" authorId="0">
      <text>
        <r>
          <rPr>
            <sz val="10"/>
            <rFont val="Arial"/>
            <family val="2"/>
          </rPr>
          <t>Passagens para Kuelap</t>
        </r>
      </text>
    </comment>
    <comment ref="H49" authorId="0">
      <text>
        <r>
          <rPr>
            <sz val="10"/>
            <rFont val="Arial"/>
            <family val="2"/>
          </rPr>
          <t>Entradas para Kuelap</t>
        </r>
      </text>
    </comment>
    <comment ref="B51" authorId="0">
      <text>
        <r>
          <rPr>
            <sz val="10"/>
            <rFont val="Arial"/>
            <family val="2"/>
          </rPr>
          <t>Passagem desde tarapoto (20) e 200 do barco</t>
        </r>
      </text>
    </comment>
    <comment ref="J51" authorId="0">
      <text>
        <r>
          <rPr>
            <sz val="10"/>
            <rFont val="Arial"/>
            <family val="2"/>
          </rPr>
          <t>Rede para dormir</t>
        </r>
      </text>
    </comment>
    <comment ref="B56" authorId="0">
      <text>
        <r>
          <rPr>
            <sz val="10"/>
            <rFont val="Arial"/>
            <family val="2"/>
          </rPr>
          <t>Para ir e voltar do zoologico</t>
        </r>
      </text>
    </comment>
    <comment ref="H56" authorId="0">
      <text>
        <r>
          <rPr>
            <sz val="10"/>
            <rFont val="Arial"/>
            <family val="2"/>
          </rPr>
          <t>Zoologico</t>
        </r>
      </text>
    </comment>
    <comment ref="J57" authorId="0">
      <text>
        <r>
          <rPr>
            <sz val="10"/>
            <rFont val="Arial"/>
            <family val="2"/>
          </rPr>
          <t>Sorvete</t>
        </r>
      </text>
    </comment>
    <comment ref="J58" authorId="0">
      <text>
        <r>
          <rPr>
            <sz val="10"/>
            <rFont val="Arial"/>
            <family val="2"/>
          </rPr>
          <t>Artesanato</t>
        </r>
      </text>
    </comment>
    <comment ref="F59" authorId="0">
      <text>
        <r>
          <rPr>
            <sz val="10"/>
            <rFont val="Arial"/>
            <family val="2"/>
          </rPr>
          <t>cerveja</t>
        </r>
      </text>
    </comment>
    <comment ref="J59" authorId="0">
      <text>
        <r>
          <rPr>
            <sz val="10"/>
            <rFont val="Arial"/>
            <family val="2"/>
          </rPr>
          <t xml:space="preserve">Lavanderia e remedios para dor de barriga
</t>
        </r>
      </text>
    </comment>
    <comment ref="J61" authorId="0">
      <text>
        <r>
          <rPr>
            <sz val="10"/>
            <rFont val="Arial"/>
            <family val="2"/>
          </rPr>
          <t>Tomando Ayuasca (santo daime)</t>
        </r>
      </text>
    </comment>
    <comment ref="B64" authorId="0">
      <text>
        <r>
          <rPr>
            <sz val="10"/>
            <rFont val="Arial"/>
            <family val="2"/>
          </rPr>
          <t>Barco de Iquitos a Yurimaguas</t>
        </r>
      </text>
    </comment>
    <comment ref="J64" authorId="0">
      <text>
        <r>
          <rPr>
            <sz val="10"/>
            <rFont val="Arial"/>
            <family val="2"/>
          </rPr>
          <t>Caiu na privada</t>
        </r>
      </text>
    </comment>
    <comment ref="B67" authorId="0">
      <text>
        <r>
          <rPr>
            <sz val="10"/>
            <rFont val="Arial"/>
            <family val="2"/>
          </rPr>
          <t>Transporte para Tarapoto e moto-taxis</t>
        </r>
      </text>
    </comment>
    <comment ref="B68" authorId="0">
      <text>
        <r>
          <rPr>
            <sz val="10"/>
            <rFont val="Arial"/>
            <family val="2"/>
          </rPr>
          <t xml:space="preserve">Transporte para Jaén
</t>
        </r>
      </text>
    </comment>
    <comment ref="B70" authorId="0">
      <text>
        <r>
          <rPr>
            <sz val="10"/>
            <rFont val="Arial"/>
            <family val="2"/>
          </rPr>
          <t>Transporte desde Jaén até a fronteira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rFont val="Arial"/>
            <family val="2"/>
          </rPr>
          <t>Almoço e cachorro quente + x-salada na rua</t>
        </r>
      </text>
    </comment>
    <comment ref="H3" authorId="0">
      <text>
        <r>
          <rPr>
            <sz val="10"/>
            <rFont val="Arial"/>
            <family val="2"/>
          </rPr>
          <t>Passeio para Los Páramos para nós dois</t>
        </r>
      </text>
    </comment>
    <comment ref="H4" authorId="0">
      <text>
        <r>
          <rPr>
            <sz val="10"/>
            <rFont val="Arial"/>
            <family val="2"/>
          </rPr>
          <t>Duas entradas para a casa Juan Molinero</t>
        </r>
      </text>
    </comment>
    <comment ref="J4" authorId="0">
      <text>
        <r>
          <rPr>
            <sz val="10"/>
            <rFont val="Arial"/>
            <family val="2"/>
          </rPr>
          <t>Morango com chantili, chocolate quente e gorjetas para algumas pessoas
550 + 600 são cervejas no bar e entradas para uma balada</t>
        </r>
      </text>
    </comment>
    <comment ref="F5" authorId="0">
      <text>
        <r>
          <rPr>
            <sz val="10"/>
            <rFont val="Arial"/>
            <family val="2"/>
          </rPr>
          <t>9200 foi nosso almoço. 3000 que pagamos um almoço para um morador de rua
9000 de janta</t>
        </r>
      </text>
    </comment>
    <comment ref="B6" authorId="0">
      <text>
        <r>
          <rPr>
            <sz val="10"/>
            <rFont val="Arial"/>
            <family val="2"/>
          </rPr>
          <t>Táxi até o terminal + ônibus Mérida - Coro</t>
        </r>
      </text>
    </comment>
    <comment ref="F6" authorId="0">
      <text>
        <r>
          <rPr>
            <sz val="10"/>
            <rFont val="Arial"/>
            <family val="2"/>
          </rPr>
          <t>Dois almoços em Mérida mais uma arepa que comemos na estrada</t>
        </r>
      </text>
    </comment>
    <comment ref="J6" authorId="0">
      <text>
        <r>
          <rPr>
            <sz val="10"/>
            <rFont val="Arial"/>
            <family val="2"/>
          </rPr>
          <t>Banheiro na estrada</t>
        </r>
      </text>
    </comment>
    <comment ref="B7" authorId="0">
      <text>
        <r>
          <rPr>
            <sz val="10"/>
            <rFont val="Arial"/>
            <family val="2"/>
          </rPr>
          <t>Táxi buscando hotel barato em Coro</t>
        </r>
      </text>
    </comment>
    <comment ref="B8" authorId="0">
      <text>
        <r>
          <rPr>
            <sz val="10"/>
            <rFont val="Arial"/>
            <family val="2"/>
          </rPr>
          <t>Táxi de ida e volta ao Médanos de Coro</t>
        </r>
      </text>
    </comment>
    <comment ref="H8" authorId="0">
      <text>
        <r>
          <rPr>
            <sz val="10"/>
            <rFont val="Arial"/>
            <family val="2"/>
          </rPr>
          <t>Demos de gorjeta ao guia nos Médanos de Coro</t>
        </r>
      </text>
    </comment>
    <comment ref="B9" authorId="0">
      <text>
        <r>
          <rPr>
            <sz val="10"/>
            <rFont val="Arial"/>
            <family val="2"/>
          </rPr>
          <t>800 – táxi até a rodoviária de Coro
1500 – táxi do terminal de ônibus de Punto Fijo em busca de um hotel
920 – duas passagens de Coro a Punto Fijo</t>
        </r>
      </text>
    </comment>
    <comment ref="B11" authorId="0">
      <text>
        <r>
          <rPr>
            <sz val="10"/>
            <rFont val="Arial"/>
            <family val="2"/>
          </rPr>
          <t>1200 – táxi até o terminal
4000 – duas passagens de Punto Fijo até o cruzamento com Chichiriviche
600 – caminhão que nos levou do cruzamento até Chichiriviche</t>
        </r>
      </text>
    </comment>
    <comment ref="J12" authorId="0">
      <text>
        <r>
          <rPr>
            <sz val="10"/>
            <rFont val="Arial"/>
            <family val="2"/>
          </rPr>
          <t>Em ordem: duas roupas de praia para a Michele, uma garrafa de rum, uma garrafa de coca, isopor, gelo e uma bebida na praia</t>
        </r>
      </text>
    </comment>
    <comment ref="F14" authorId="0">
      <text>
        <r>
          <rPr>
            <sz val="10"/>
            <rFont val="Arial"/>
            <family val="2"/>
          </rPr>
          <t>Ceviche na praia</t>
        </r>
      </text>
    </comment>
    <comment ref="H14" authorId="0">
      <text>
        <r>
          <rPr>
            <sz val="10"/>
            <rFont val="Arial"/>
            <family val="2"/>
          </rPr>
          <t>Passeio de barco por algumas ilhas de Chichiriviche</t>
        </r>
      </text>
    </comment>
    <comment ref="H17" authorId="0">
      <text>
        <r>
          <rPr>
            <sz val="10"/>
            <rFont val="Arial"/>
            <family val="2"/>
          </rPr>
          <t>Revisar, porque provavelmente foi menos</t>
        </r>
      </text>
    </comment>
    <comment ref="J18" authorId="0">
      <text>
        <r>
          <rPr>
            <sz val="10"/>
            <rFont val="Arial"/>
            <family val="2"/>
          </rPr>
          <t>1 garrafa de rum e duas cocas</t>
        </r>
      </text>
    </comment>
    <comment ref="H19" authorId="0">
      <text>
        <r>
          <rPr>
            <sz val="10"/>
            <rFont val="Arial"/>
            <family val="2"/>
          </rPr>
          <t>Confirmar!</t>
        </r>
      </text>
    </comment>
    <comment ref="J19" authorId="0">
      <text>
        <r>
          <rPr>
            <sz val="10"/>
            <rFont val="Arial"/>
            <family val="2"/>
          </rPr>
          <t>Aluguel de cadeira de praia</t>
        </r>
      </text>
    </comment>
    <comment ref="B23" authorId="0">
      <text>
        <r>
          <rPr>
            <sz val="10"/>
            <rFont val="Arial"/>
            <family val="2"/>
          </rPr>
          <t>Transporte de Chichiriviche – Valencia
Valencia – Caracas
ônibus internos em Caracas</t>
        </r>
      </text>
    </comment>
    <comment ref="F23" authorId="0">
      <text>
        <r>
          <rPr>
            <sz val="10"/>
            <rFont val="Arial"/>
            <family val="2"/>
          </rPr>
          <t>Empanadas na rodoviária</t>
        </r>
      </text>
    </comment>
    <comment ref="B27" authorId="0">
      <text>
        <r>
          <rPr>
            <sz val="10"/>
            <rFont val="Arial"/>
            <family val="2"/>
          </rPr>
          <t>6 passagens de  ônibus mais uma passagem de metrô</t>
        </r>
      </text>
    </comment>
    <comment ref="B30" authorId="0">
      <text>
        <r>
          <rPr>
            <sz val="10"/>
            <rFont val="Arial"/>
            <family val="2"/>
          </rPr>
          <t>2 passagens de ônibus + 12 passagens de metrô</t>
        </r>
      </text>
    </comment>
    <comment ref="B31" authorId="0">
      <text>
        <r>
          <rPr>
            <sz val="10"/>
            <rFont val="Arial"/>
            <family val="2"/>
          </rPr>
          <t>800 de passagem de Caracas até a praia; 
2000 de táxi até o hotel</t>
        </r>
      </text>
    </comment>
    <comment ref="J32" authorId="0">
      <text>
        <r>
          <rPr>
            <sz val="10"/>
            <rFont val="Arial"/>
            <family val="2"/>
          </rPr>
          <t>8 cervejas que tomamos na virada do ano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Para ir até uma cidadezinha perto de Vilcabamba</t>
        </r>
      </text>
    </comment>
    <comment ref="H12" authorId="0">
      <text>
        <r>
          <rPr>
            <sz val="10"/>
            <rFont val="Arial"/>
            <family val="2"/>
          </rPr>
          <t>Fomos numa festa que era 5 dólares a entrada</t>
        </r>
      </text>
    </comment>
    <comment ref="J12" authorId="0">
      <text>
        <r>
          <rPr>
            <sz val="10"/>
            <rFont val="Arial"/>
            <family val="2"/>
          </rPr>
          <t>Ligação de telefone</t>
        </r>
      </text>
    </comment>
    <comment ref="H14" authorId="0">
      <text>
        <r>
          <rPr>
            <sz val="10"/>
            <rFont val="Arial"/>
            <family val="2"/>
          </rPr>
          <t>Fomos em um bar</t>
        </r>
      </text>
    </comment>
    <comment ref="L17" authorId="0">
      <text>
        <r>
          <rPr>
            <sz val="10"/>
            <rFont val="Arial"/>
            <family val="2"/>
          </rPr>
          <t>Alugamos um quarto por 60 dólares – 15 dias</t>
        </r>
      </text>
    </comment>
    <comment ref="B24" authorId="0">
      <text>
        <r>
          <rPr>
            <sz val="10"/>
            <rFont val="Arial"/>
            <family val="2"/>
          </rPr>
          <t>5 para ir e 5 para voltar de Puerto Lopez</t>
        </r>
      </text>
    </comment>
    <comment ref="H24" authorId="0">
      <text>
        <r>
          <rPr>
            <sz val="10"/>
            <rFont val="Arial"/>
            <family val="2"/>
          </rPr>
          <t>Taxa de embarque no porto</t>
        </r>
      </text>
    </comment>
    <comment ref="B25" authorId="0">
      <text>
        <r>
          <rPr>
            <sz val="10"/>
            <rFont val="Arial"/>
            <family val="2"/>
          </rPr>
          <t>Para ir e voltar de Los Frailes. Uma parte na ida conseguimos ir de carona</t>
        </r>
      </text>
    </comment>
    <comment ref="J31" authorId="0">
      <text>
        <r>
          <rPr>
            <sz val="10"/>
            <rFont val="Arial"/>
            <family val="2"/>
          </rPr>
          <t>Lavagem de roupa</t>
        </r>
      </text>
    </comment>
    <comment ref="B32" authorId="0">
      <text>
        <r>
          <rPr>
            <sz val="10"/>
            <rFont val="Arial"/>
            <family val="2"/>
          </rPr>
          <t>Metade do caminho até Guayaquil de carona; restante 2 por pessoa. De Guayaquil a Riobamba 5. ônibus em Riobamba 0,30</t>
        </r>
      </text>
    </comment>
    <comment ref="J33" authorId="0">
      <text>
        <r>
          <rPr>
            <sz val="10"/>
            <rFont val="Arial"/>
            <family val="2"/>
          </rPr>
          <t xml:space="preserve">Chip da Claro para o tablet
</t>
        </r>
      </text>
    </comment>
    <comment ref="B34" authorId="0">
      <text>
        <r>
          <rPr>
            <sz val="10"/>
            <rFont val="Arial"/>
            <family val="2"/>
          </rPr>
          <t>4 de ônibus para Baños. Os outros foram de táxi (esqueci meu relógio no hotel e precisei voltar; um dos trâmites fiz de ônibus)</t>
        </r>
      </text>
    </comment>
    <comment ref="B35" authorId="0">
      <text>
        <r>
          <rPr>
            <sz val="10"/>
            <rFont val="Arial"/>
            <family val="2"/>
          </rPr>
          <t>Ônibus até a casa da árvore</t>
        </r>
      </text>
    </comment>
    <comment ref="H35" authorId="0">
      <text>
        <r>
          <rPr>
            <sz val="10"/>
            <rFont val="Arial"/>
            <family val="2"/>
          </rPr>
          <t>Entradas para a casa da árvore</t>
        </r>
      </text>
    </comment>
    <comment ref="B36" authorId="0">
      <text>
        <r>
          <rPr>
            <sz val="10"/>
            <rFont val="Arial"/>
            <family val="2"/>
          </rPr>
          <t>50 centavos por pessoa para ir até o canopy + 50 para voltar</t>
        </r>
      </text>
    </comment>
    <comment ref="H39" authorId="0">
      <text>
        <r>
          <rPr>
            <sz val="10"/>
            <rFont val="Arial"/>
            <family val="2"/>
          </rPr>
          <t>1,50 pp de entrada no Paillon + 7 do balanço</t>
        </r>
      </text>
    </comment>
    <comment ref="B43" authorId="0">
      <text>
        <r>
          <rPr>
            <sz val="10"/>
            <rFont val="Arial"/>
            <family val="2"/>
          </rPr>
          <t>Ônibus de ida e volta da lagoa quilotoa</t>
        </r>
      </text>
    </comment>
    <comment ref="H43" authorId="0">
      <text>
        <r>
          <rPr>
            <sz val="10"/>
            <rFont val="Arial"/>
            <family val="2"/>
          </rPr>
          <t>Entrada para o Quilotoa</t>
        </r>
      </text>
    </comment>
    <comment ref="B45" authorId="0">
      <text>
        <r>
          <rPr>
            <sz val="10"/>
            <rFont val="Arial"/>
            <family val="2"/>
          </rPr>
          <t>Passagem de Latacunga a Quito</t>
        </r>
      </text>
    </comment>
    <comment ref="B51" authorId="0">
      <text>
        <r>
          <rPr>
            <sz val="10"/>
            <rFont val="Arial"/>
            <family val="2"/>
          </rPr>
          <t>Ônibus até Otavalo e os deslocamentos locais</t>
        </r>
      </text>
    </comment>
    <comment ref="J51" authorId="0">
      <text>
        <r>
          <rPr>
            <sz val="10"/>
            <rFont val="Arial"/>
            <family val="2"/>
          </rPr>
          <t>Cervejas</t>
        </r>
      </text>
    </comment>
    <comment ref="B52" authorId="0">
      <text>
        <r>
          <rPr>
            <sz val="10"/>
            <rFont val="Arial"/>
            <family val="2"/>
          </rPr>
          <t>Para ir e voltar da cachoeira</t>
        </r>
      </text>
    </comment>
    <comment ref="H53" authorId="0">
      <text>
        <r>
          <rPr>
            <sz val="10"/>
            <rFont val="Arial"/>
            <family val="2"/>
          </rPr>
          <t>De barco pelo lago</t>
        </r>
      </text>
    </comment>
    <comment ref="J53" authorId="0">
      <text>
        <r>
          <rPr>
            <sz val="10"/>
            <rFont val="Arial"/>
            <family val="2"/>
          </rPr>
          <t>cerveja</t>
        </r>
      </text>
    </comment>
    <comment ref="J55" authorId="0">
      <text>
        <r>
          <rPr>
            <sz val="10"/>
            <rFont val="Arial"/>
            <family val="2"/>
          </rPr>
          <t>Xerox na fronteira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T4" authorId="0">
      <text>
        <r>
          <rPr>
            <sz val="10"/>
            <rFont val="Arial"/>
            <family val="2"/>
          </rPr>
          <t>Barco</t>
        </r>
      </text>
    </comment>
    <comment ref="T8" authorId="0">
      <text>
        <r>
          <rPr>
            <sz val="10"/>
            <rFont val="Arial"/>
            <family val="2"/>
          </rPr>
          <t>Dormimos no caminhão em Calama</t>
        </r>
      </text>
    </comment>
    <comment ref="L12" authorId="0">
      <text>
        <r>
          <rPr>
            <sz val="10"/>
            <rFont val="Arial"/>
            <family val="2"/>
          </rPr>
          <t>Compramos um tablet novo</t>
        </r>
      </text>
    </comment>
    <comment ref="O16" authorId="0">
      <text>
        <r>
          <rPr>
            <sz val="10"/>
            <rFont val="Arial"/>
            <family val="2"/>
          </rPr>
          <t>Em uma rede no Lago Maracaibo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10" authorId="0">
      <text>
        <r>
          <rPr>
            <sz val="10"/>
            <rFont val="Arial"/>
            <family val="2"/>
          </rPr>
          <t>Passeio de lancha</t>
        </r>
      </text>
    </comment>
    <comment ref="B18" authorId="0">
      <text>
        <r>
          <rPr>
            <sz val="10"/>
            <rFont val="Arial"/>
            <family val="2"/>
          </rPr>
          <t>Buquebus</t>
        </r>
      </text>
    </comment>
    <comment ref="J20" authorId="0">
      <text>
        <r>
          <rPr>
            <sz val="10"/>
            <rFont val="Arial"/>
            <family val="2"/>
          </rPr>
          <t>Botijão fogareiro</t>
        </r>
      </text>
    </comment>
    <comment ref="J23" authorId="0">
      <text>
        <r>
          <rPr>
            <sz val="10"/>
            <rFont val="Arial"/>
            <family val="2"/>
          </rPr>
          <t>Futebol</t>
        </r>
      </text>
    </comment>
    <comment ref="B24" authorId="0">
      <text>
        <r>
          <rPr>
            <sz val="10"/>
            <rFont val="Arial"/>
            <family val="2"/>
          </rPr>
          <t>350 de passagem de trem para Rosário</t>
        </r>
      </text>
    </comment>
    <comment ref="J24" authorId="0">
      <text>
        <r>
          <rPr>
            <sz val="10"/>
            <rFont val="Arial"/>
            <family val="2"/>
          </rPr>
          <t>Lucro no cassino de Tigre</t>
        </r>
      </text>
    </comment>
    <comment ref="B27" authorId="0">
      <text>
        <r>
          <rPr>
            <sz val="10"/>
            <rFont val="Arial"/>
            <family val="2"/>
          </rPr>
          <t>Onibus até cidade de Carcarañas, onde pegamos carona. Não dava troco e o motorista nos comeu 26 pesos</t>
        </r>
      </text>
    </comment>
    <comment ref="F27" authorId="0">
      <text>
        <r>
          <rPr>
            <sz val="10"/>
            <rFont val="Arial"/>
            <family val="2"/>
          </rPr>
          <t>Sanduíche no posto de gasolina</t>
        </r>
      </text>
    </comment>
    <comment ref="J27" authorId="0">
      <text>
        <r>
          <rPr>
            <sz val="10"/>
            <rFont val="Arial"/>
            <family val="2"/>
          </rPr>
          <t>Chip personal + 20 de crédito</t>
        </r>
      </text>
    </comment>
    <comment ref="B30" authorId="0">
      <text>
        <r>
          <rPr>
            <sz val="10"/>
            <rFont val="Arial"/>
            <family val="2"/>
          </rPr>
          <t>Passagem para Cacheuta</t>
        </r>
      </text>
    </comment>
    <comment ref="B31" authorId="0">
      <text>
        <r>
          <rPr>
            <sz val="10"/>
            <rFont val="Arial"/>
            <family val="2"/>
          </rPr>
          <t>45 de passagem para Potrerillos</t>
        </r>
      </text>
    </comment>
    <comment ref="L33" authorId="0">
      <text>
        <r>
          <rPr>
            <sz val="10"/>
            <rFont val="Arial"/>
            <family val="2"/>
          </rPr>
          <t>Pagamos o camping de hoje e ontem.
60 de tx de entrada + 60 por pessoa por noite</t>
        </r>
      </text>
    </comment>
    <comment ref="B35" authorId="0">
      <text>
        <r>
          <rPr>
            <sz val="10"/>
            <rFont val="Arial"/>
            <family val="2"/>
          </rPr>
          <t>Passagem de ida para o Aconcágua (35 pesos por pessoa).
Voltamos de carona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9" authorId="0">
      <text>
        <r>
          <rPr>
            <sz val="10"/>
            <rFont val="Arial"/>
            <family val="2"/>
          </rPr>
          <t>Jantamos pizza com cerveja</t>
        </r>
      </text>
    </comment>
    <comment ref="B14" authorId="0">
      <text>
        <r>
          <rPr>
            <sz val="10"/>
            <rFont val="Arial"/>
            <family val="2"/>
          </rPr>
          <t xml:space="preserve">Passagem Bariloche – Puerto Montt
</t>
        </r>
      </text>
    </comment>
    <comment ref="F14" authorId="0">
      <text>
        <r>
          <rPr>
            <sz val="10"/>
            <rFont val="Arial"/>
            <family val="2"/>
          </rPr>
          <t>Cerveja em um bar</t>
        </r>
      </text>
    </comment>
    <comment ref="J21" authorId="0">
      <text>
        <r>
          <rPr>
            <sz val="10"/>
            <rFont val="Arial"/>
            <family val="2"/>
          </rPr>
          <t>Banheiro em Puerto Montt</t>
        </r>
      </text>
    </comment>
    <comment ref="B23" authorId="0">
      <text>
        <r>
          <rPr>
            <sz val="10"/>
            <rFont val="Arial"/>
            <family val="2"/>
          </rPr>
          <t>Passagem de Ancud a Castro</t>
        </r>
      </text>
    </comment>
    <comment ref="B24" authorId="0">
      <text>
        <r>
          <rPr>
            <sz val="10"/>
            <rFont val="Arial"/>
            <family val="2"/>
          </rPr>
          <t>Onibus Castro – Dalcahue</t>
        </r>
      </text>
    </comment>
    <comment ref="J24" authorId="0">
      <text>
        <r>
          <rPr>
            <sz val="10"/>
            <rFont val="Arial"/>
            <family val="2"/>
          </rPr>
          <t>Banheiro</t>
        </r>
      </text>
    </comment>
    <comment ref="L24" authorId="0">
      <text>
        <r>
          <rPr>
            <sz val="10"/>
            <rFont val="Arial"/>
            <family val="2"/>
          </rPr>
          <t>O camping custava 3000 p/p, mas a dona deixou a gente ficar em um quarto pelo mesmo preço</t>
        </r>
      </text>
    </comment>
    <comment ref="B25" authorId="0">
      <text>
        <r>
          <rPr>
            <sz val="10"/>
            <rFont val="Arial"/>
            <family val="2"/>
          </rPr>
          <t>Onibus para ir até a ilha de Quinchao e andar por lá</t>
        </r>
      </text>
    </comment>
    <comment ref="B26" authorId="0">
      <text>
        <r>
          <rPr>
            <sz val="10"/>
            <rFont val="Arial"/>
            <family val="2"/>
          </rPr>
          <t>Para ir e voltar de Tenaun</t>
        </r>
      </text>
    </comment>
    <comment ref="H26" authorId="0">
      <text>
        <r>
          <rPr>
            <sz val="10"/>
            <rFont val="Arial"/>
            <family val="2"/>
          </rPr>
          <t>Doação para a igreja de Tenaun. A igreja estava fechada e a mulherzinha veio abrir especialmente para nós</t>
        </r>
      </text>
    </comment>
    <comment ref="B27" authorId="0">
      <text>
        <r>
          <rPr>
            <sz val="10"/>
            <rFont val="Arial"/>
            <family val="2"/>
          </rPr>
          <t>Ônibus de Dalcahue a Castro e de Castro a Cucao (Parque Nacional)</t>
        </r>
      </text>
    </comment>
    <comment ref="H28" authorId="0">
      <text>
        <r>
          <rPr>
            <sz val="10"/>
            <rFont val="Arial"/>
            <family val="2"/>
          </rPr>
          <t>Entrada no Parque Nacional Chiloé</t>
        </r>
      </text>
    </comment>
    <comment ref="B29" authorId="0">
      <text>
        <r>
          <rPr>
            <sz val="10"/>
            <rFont val="Arial"/>
            <family val="2"/>
          </rPr>
          <t>Ônibus de Cucao a Chonchi e de Chonchi a Quillon</t>
        </r>
      </text>
    </comment>
    <comment ref="F30" authorId="0">
      <text>
        <r>
          <rPr>
            <sz val="10"/>
            <rFont val="Arial"/>
            <family val="2"/>
          </rPr>
          <t>Almoçamos um curanto, o prato típico de Chiloé</t>
        </r>
      </text>
    </comment>
    <comment ref="B31" authorId="0">
      <text>
        <r>
          <rPr>
            <sz val="10"/>
            <rFont val="Arial"/>
            <family val="2"/>
          </rPr>
          <t>Ferry de Quellon (Chiloé) até Puerto Cisnes</t>
        </r>
      </text>
    </comment>
    <comment ref="J32" authorId="0">
      <text>
        <r>
          <rPr>
            <sz val="10"/>
            <rFont val="Arial"/>
            <family val="2"/>
          </rPr>
          <t>Compramos 3 pares de meias novos</t>
        </r>
      </text>
    </comment>
    <comment ref="J33" authorId="0">
      <text>
        <r>
          <rPr>
            <sz val="10"/>
            <rFont val="Arial"/>
            <family val="2"/>
          </rPr>
          <t>Compramos uma calça e chinelos para a Michele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8" authorId="0">
      <text>
        <r>
          <rPr>
            <sz val="10"/>
            <rFont val="Arial"/>
            <family val="2"/>
          </rPr>
          <t>Entrada para a Cueva de las Manos</t>
        </r>
      </text>
    </comment>
    <comment ref="O8" authorId="0">
      <text>
        <r>
          <rPr>
            <sz val="10"/>
            <rFont val="Arial"/>
            <family val="2"/>
          </rPr>
          <t>Acampamos numa área deserta atrás da cidade</t>
        </r>
      </text>
    </comment>
    <comment ref="F9" authorId="0">
      <text>
        <r>
          <rPr>
            <sz val="10"/>
            <rFont val="Arial"/>
            <family val="2"/>
          </rPr>
          <t>Sorvete</t>
        </r>
      </text>
    </comment>
    <comment ref="L9" authorId="0">
      <text>
        <r>
          <rPr>
            <sz val="10"/>
            <rFont val="Arial"/>
            <family val="2"/>
          </rPr>
          <t>Doação para o camping</t>
        </r>
      </text>
    </comment>
    <comment ref="O12" authorId="0">
      <text>
        <r>
          <rPr>
            <sz val="10"/>
            <rFont val="Arial"/>
            <family val="2"/>
          </rPr>
          <t>Acampamos ao lado da ruta, perto de um hotel</t>
        </r>
      </text>
    </comment>
    <comment ref="F13" authorId="0">
      <text>
        <r>
          <rPr>
            <sz val="10"/>
            <rFont val="Arial"/>
            <family val="2"/>
          </rPr>
          <t>Tomamos uma cerveja para usar o wi-fi</t>
        </r>
      </text>
    </comment>
    <comment ref="J14" authorId="0">
      <text>
        <r>
          <rPr>
            <sz val="10"/>
            <rFont val="Arial"/>
            <family val="2"/>
          </rPr>
          <t>Farmácia. Compramos manteiga de cacau</t>
        </r>
      </text>
    </comment>
    <comment ref="O15" authorId="0">
      <text>
        <r>
          <rPr>
            <sz val="10"/>
            <rFont val="Arial"/>
            <family val="2"/>
          </rPr>
          <t>Acampamos no PN Fitz Roy</t>
        </r>
      </text>
    </comment>
    <comment ref="O16" authorId="0">
      <text>
        <r>
          <rPr>
            <sz val="10"/>
            <rFont val="Arial"/>
            <family val="2"/>
          </rPr>
          <t>Acampamos no PN Fitz Roy</t>
        </r>
      </text>
    </comment>
    <comment ref="O17" authorId="0">
      <text>
        <r>
          <rPr>
            <sz val="10"/>
            <rFont val="Arial"/>
            <family val="2"/>
          </rPr>
          <t>Acampamos no PN Fitz Roy</t>
        </r>
      </text>
    </comment>
    <comment ref="F19" authorId="0">
      <text>
        <r>
          <rPr>
            <sz val="10"/>
            <rFont val="Arial"/>
            <family val="2"/>
          </rPr>
          <t>Pegamos carona e as meninas que nos levaram pararam para comer no caminho</t>
        </r>
      </text>
    </comment>
    <comment ref="H19" authorId="0">
      <text>
        <r>
          <rPr>
            <sz val="10"/>
            <rFont val="Arial"/>
            <family val="2"/>
          </rPr>
          <t>Entrada para ver o glacial Perito Moreno</t>
        </r>
      </text>
    </comment>
    <comment ref="D25" authorId="0">
      <text>
        <r>
          <rPr>
            <sz val="10"/>
            <rFont val="Arial"/>
            <family val="2"/>
          </rPr>
          <t>Compramos comida e gás para levar para o Torres del Paine</t>
        </r>
      </text>
    </comment>
  </commentList>
</comments>
</file>

<file path=xl/sharedStrings.xml><?xml version="1.0" encoding="utf-8"?>
<sst xmlns="http://schemas.openxmlformats.org/spreadsheetml/2006/main" count="2394" uniqueCount="375">
  <si>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</si>
  <si>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</si>
  <si>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</si>
  <si>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</si>
  <si>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</si>
  <si>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</si>
  <si>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</si>
  <si>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</si>
  <si>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</si>
  <si>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</si>
  <si>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</si>
  <si>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</si>
  <si>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</si>
  <si>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camping</t>
  </si>
  <si>
    <t>camping selvagem</t>
  </si>
  <si>
    <t>hotel</t>
  </si>
  <si>
    <t>trabalhando</t>
  </si>
  <si>
    <t>amigos</t>
  </si>
  <si>
    <t>cs</t>
  </si>
  <si>
    <t>rodoviaria</t>
  </si>
  <si>
    <t>onibus</t>
  </si>
  <si>
    <t>Carona</t>
  </si>
  <si>
    <t>total (moeda local)</t>
  </si>
  <si>
    <t>cambio</t>
  </si>
  <si>
    <t>total r$</t>
  </si>
  <si>
    <t>N País</t>
  </si>
  <si>
    <t>x</t>
  </si>
  <si>
    <t>Santiago – Coquimbo</t>
  </si>
  <si>
    <t>total (R$)</t>
  </si>
  <si>
    <t>media</t>
  </si>
  <si>
    <t>hospedagens gratuitas</t>
  </si>
  <si>
    <t>total Argentina</t>
  </si>
  <si>
    <t>total Chile</t>
  </si>
  <si>
    <t>Coquimbo – La Serena – Coquimbo</t>
  </si>
  <si>
    <t>hospedagens pagas</t>
  </si>
  <si>
    <t>dias Arg</t>
  </si>
  <si>
    <t>dias Chile</t>
  </si>
  <si>
    <t>Coquimbo – Valle el Elqui (ruta)</t>
  </si>
  <si>
    <t>CouchSurfing</t>
  </si>
  <si>
    <t>media Arg</t>
  </si>
  <si>
    <t>media Chile</t>
  </si>
  <si>
    <t>Ruta = Pisco Elqui – Monte Grande</t>
  </si>
  <si>
    <t>total de dias</t>
  </si>
  <si>
    <t>Monte Grande – Vallenar</t>
  </si>
  <si>
    <t>hotel/hostel</t>
  </si>
  <si>
    <t>Vallenar – Calama</t>
  </si>
  <si>
    <t>médias</t>
  </si>
  <si>
    <t>Calama – San Pedro de Atacama</t>
  </si>
  <si>
    <t>total hospedagem</t>
  </si>
  <si>
    <t>San Pedro de Atacama</t>
  </si>
  <si>
    <t>total transporte</t>
  </si>
  <si>
    <t>total supermercado</t>
  </si>
  <si>
    <t>mercado</t>
  </si>
  <si>
    <t>ônibus/barco/caminhão</t>
  </si>
  <si>
    <t>total restaurante</t>
  </si>
  <si>
    <t xml:space="preserve"> restaurante</t>
  </si>
  <si>
    <t>rodoviária</t>
  </si>
  <si>
    <t>total outros</t>
  </si>
  <si>
    <t>total passeios</t>
  </si>
  <si>
    <t>total de caronas</t>
  </si>
  <si>
    <t>Los Alerces – Palena (Chi)</t>
  </si>
  <si>
    <t>Palena – Chaiten</t>
  </si>
  <si>
    <t>Chaiten</t>
  </si>
  <si>
    <t>Chaiten – Puerto Montt</t>
  </si>
  <si>
    <t>Puerto Montt – Valdivia</t>
  </si>
  <si>
    <t>Valdivia</t>
  </si>
  <si>
    <t>Valdivia – Villarrica</t>
  </si>
  <si>
    <t>Villa Rica – Pucón – Villarrica</t>
  </si>
  <si>
    <t>Villarrica</t>
  </si>
  <si>
    <t>Villarrica – Concepcion</t>
  </si>
  <si>
    <t>Concepcion</t>
  </si>
  <si>
    <t>Concepcion – Santiago</t>
  </si>
  <si>
    <t>Santiago</t>
  </si>
  <si>
    <t>Santiago – Valparaiso – Vina – Santiago</t>
  </si>
  <si>
    <t>Santiago – Sewell – Santiago</t>
  </si>
  <si>
    <t>Puerto Natales</t>
  </si>
  <si>
    <t>Puerto natales – Punta Arenas</t>
  </si>
  <si>
    <t>Punta Arenas</t>
  </si>
  <si>
    <t>Punta Arenas – Terro do Fogo</t>
  </si>
  <si>
    <t>El Calafate – Puerto Natales</t>
  </si>
  <si>
    <t>Torres del Paine</t>
  </si>
  <si>
    <t>Coyhaique – Puerto Tranquilo</t>
  </si>
  <si>
    <t>Puerto Tranquilo</t>
  </si>
  <si>
    <t>Puerto Tranquilo – Chile Chico</t>
  </si>
  <si>
    <t>Chile Chico</t>
  </si>
  <si>
    <t>Puerto Montt</t>
  </si>
  <si>
    <t>Puerto Montt – Ancud (Chiloé)</t>
  </si>
  <si>
    <t>Ancud (Chiloé)</t>
  </si>
  <si>
    <t>Castro (Chiloé)</t>
  </si>
  <si>
    <t>Dalcahue (Chiloé)</t>
  </si>
  <si>
    <t>Cucao (Chiloé)</t>
  </si>
  <si>
    <t>Quillon (Chiloé)</t>
  </si>
  <si>
    <t>Coyhaique</t>
  </si>
  <si>
    <t>total hospedagens gratuitas</t>
  </si>
  <si>
    <t>Puno</t>
  </si>
  <si>
    <t>total hospedagens pagas</t>
  </si>
  <si>
    <t>Lago Titicaca</t>
  </si>
  <si>
    <t>hospegagem CS</t>
  </si>
  <si>
    <t>Lago Titicaca – Puno – Cusco</t>
  </si>
  <si>
    <t>Cusco</t>
  </si>
  <si>
    <t>onibus/barco</t>
  </si>
  <si>
    <t>Cusco – Picumacha</t>
  </si>
  <si>
    <t>Cerro colocado – Cusco</t>
  </si>
  <si>
    <t>Águas Calientes</t>
  </si>
  <si>
    <t>Cusco – Nazca</t>
  </si>
  <si>
    <t>Nazca</t>
  </si>
  <si>
    <t>Nazca – Ica</t>
  </si>
  <si>
    <t>Ica</t>
  </si>
  <si>
    <t>Ica – Lima</t>
  </si>
  <si>
    <t>Lima</t>
  </si>
  <si>
    <t>Lima – Caleta Vidal</t>
  </si>
  <si>
    <t>Caleta Vidal – Caral – Caleta</t>
  </si>
  <si>
    <t>Caleta Vidal – Huaraz</t>
  </si>
  <si>
    <t>Huaraz</t>
  </si>
  <si>
    <t>Huaraz – Yungay – Huaraz</t>
  </si>
  <si>
    <t>Huaraz – Trujillo</t>
  </si>
  <si>
    <t>Trujillo</t>
  </si>
  <si>
    <t>Trujillo – Chiclayo</t>
  </si>
  <si>
    <t>Chiclayo – Chachapoyas</t>
  </si>
  <si>
    <t>Chachapoyas</t>
  </si>
  <si>
    <t>Chachapoyas – Tarapoto</t>
  </si>
  <si>
    <t>Tarapoto – Yurimaguas</t>
  </si>
  <si>
    <t>Yurimaguas (barco)</t>
  </si>
  <si>
    <t>barco</t>
  </si>
  <si>
    <t>Iquitos</t>
  </si>
  <si>
    <t>Iquitos (selva)</t>
  </si>
  <si>
    <t>Yurimaguas – Tarapoto</t>
  </si>
  <si>
    <t>Tarapoto</t>
  </si>
  <si>
    <t>Tarapoto – Jaén</t>
  </si>
  <si>
    <t>Jaén – Fronteira</t>
  </si>
  <si>
    <t>reposicao</t>
  </si>
  <si>
    <t>repo R$</t>
  </si>
  <si>
    <t>Fronteira – Vilcabamba</t>
  </si>
  <si>
    <t>Vilcabamba</t>
  </si>
  <si>
    <t>Cuenca</t>
  </si>
  <si>
    <t>Cuenca – Guayaquil</t>
  </si>
  <si>
    <t>Guayaquil</t>
  </si>
  <si>
    <t>Guayaquil – Montanita</t>
  </si>
  <si>
    <t>Montanita</t>
  </si>
  <si>
    <t>Montanita – Pto Lopez – Montanita</t>
  </si>
  <si>
    <t>Montanita – Los Frailes – Montanita</t>
  </si>
  <si>
    <t>Montanita – Riobamba</t>
  </si>
  <si>
    <t>Riobamba</t>
  </si>
  <si>
    <t>Riobamba – Baños</t>
  </si>
  <si>
    <t>Baños</t>
  </si>
  <si>
    <t>Baños – Latacunga</t>
  </si>
  <si>
    <t>Latacunga</t>
  </si>
  <si>
    <t>Latacunga – Quito</t>
  </si>
  <si>
    <t>Quito</t>
  </si>
  <si>
    <t>Quito – Otavalo</t>
  </si>
  <si>
    <t>Otavalo</t>
  </si>
  <si>
    <t>Otavalo Ipiales</t>
  </si>
  <si>
    <t>Data</t>
  </si>
  <si>
    <t>Valor</t>
  </si>
  <si>
    <t>País</t>
  </si>
  <si>
    <t>Câmbio</t>
  </si>
  <si>
    <t>Valor em Reais</t>
  </si>
  <si>
    <t>Comissão pela venda de passeios (Moving)</t>
  </si>
  <si>
    <t>Argentina</t>
  </si>
  <si>
    <t>Gorjetas (Moving)</t>
  </si>
  <si>
    <t>Total</t>
  </si>
  <si>
    <t>Vendendo garrafa vazia deixada por um hospede</t>
  </si>
  <si>
    <t>Gorjeta dos Chineses (Moving)</t>
  </si>
  <si>
    <t>Lvanderia (Moving)</t>
  </si>
  <si>
    <t>Presente de Gisela (Rio Grande): 100 dólares!</t>
  </si>
  <si>
    <t>Encontramos 10 soles na rua</t>
  </si>
  <si>
    <t>Peru</t>
  </si>
  <si>
    <t>Encontramos 1 sol na rua</t>
  </si>
  <si>
    <t>Pagamento pela venda de fotos na web</t>
  </si>
  <si>
    <t>Mês</t>
  </si>
  <si>
    <t>Dias</t>
  </si>
  <si>
    <t>Total em Reais</t>
  </si>
  <si>
    <t>Média</t>
  </si>
  <si>
    <t>Hospedagem</t>
  </si>
  <si>
    <t>Mercado</t>
  </si>
  <si>
    <t>Transporte</t>
  </si>
  <si>
    <t>Passeios</t>
  </si>
  <si>
    <t>Restaurantes</t>
  </si>
  <si>
    <t>Outros</t>
  </si>
  <si>
    <t>Reposição</t>
  </si>
  <si>
    <t>Patrimonios da Unesco</t>
  </si>
  <si>
    <t>CS</t>
  </si>
  <si>
    <t>Camping</t>
  </si>
  <si>
    <t>Camping selvagem</t>
  </si>
  <si>
    <t>Amigos</t>
  </si>
  <si>
    <t>Hotel\hostel</t>
  </si>
  <si>
    <t>Noites Rodoviaria</t>
  </si>
  <si>
    <t>Noites bus/barco/avião</t>
  </si>
  <si>
    <t>Trabalhando</t>
  </si>
  <si>
    <t>Hospedagens pagas</t>
  </si>
  <si>
    <t>Hospedagens gratuitas</t>
  </si>
  <si>
    <t>Caronas</t>
  </si>
  <si>
    <t>Set-Out</t>
  </si>
  <si>
    <t>Nov</t>
  </si>
  <si>
    <t>total dias</t>
  </si>
  <si>
    <t>Dez</t>
  </si>
  <si>
    <t>total gasto (reais)</t>
  </si>
  <si>
    <t>Jan</t>
  </si>
  <si>
    <t>média geral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</si>
  <si>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</si>
  <si>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</si>
  <si>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</si>
  <si>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</si>
  <si>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</si>
  <si>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</si>
  <si>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</si>
  <si>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</si>
  <si>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</si>
  <si>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Total da Viajona</t>
  </si>
  <si>
    <t>média dia</t>
  </si>
  <si>
    <t>média mensal</t>
  </si>
  <si>
    <t>carona</t>
  </si>
  <si>
    <t>onde</t>
  </si>
  <si>
    <t>Argentina – Puerto Iguazu/Corrientes</t>
  </si>
  <si>
    <t>total Uruguai</t>
  </si>
  <si>
    <t>Argentina – Corrientes</t>
  </si>
  <si>
    <t>dias Uru</t>
  </si>
  <si>
    <t>Argentina – Corrientes e Paso de la Patria</t>
  </si>
  <si>
    <t>total hospegagem CS</t>
  </si>
  <si>
    <t>media Uru</t>
  </si>
  <si>
    <t>Argentina – Corrientes e Resistencia</t>
  </si>
  <si>
    <t>Argentina – Corrientes/Mercedes</t>
  </si>
  <si>
    <t>Argentina – Mercedes</t>
  </si>
  <si>
    <t>Total Países = 2</t>
  </si>
  <si>
    <t>média hosp</t>
  </si>
  <si>
    <t>Total Cidades = 13</t>
  </si>
  <si>
    <t>Argentina – Carlos Pellegrini</t>
  </si>
  <si>
    <t>media transporte</t>
  </si>
  <si>
    <t>média super</t>
  </si>
  <si>
    <t>média restaurante</t>
  </si>
  <si>
    <t>Argentina – Carlos Pellegrini – Colón</t>
  </si>
  <si>
    <t>média outros</t>
  </si>
  <si>
    <t>Argentina – Colón – Paysandu</t>
  </si>
  <si>
    <t>média passeios</t>
  </si>
  <si>
    <t>Uruguai – Paysandu – Montevideo</t>
  </si>
  <si>
    <t>Uruguai – Montevideo</t>
  </si>
  <si>
    <t>Uruguai – Montevideo – Punta del Este – Colonia</t>
  </si>
  <si>
    <t>Uruguai – Colonia – Bs. As.</t>
  </si>
  <si>
    <t>Argentina – Buenos Aires</t>
  </si>
  <si>
    <t>Argentina – Buenos Aires – Tigre</t>
  </si>
  <si>
    <t>Argentina – Buenos Aires – Rosário</t>
  </si>
  <si>
    <t>Argentina – Rosário</t>
  </si>
  <si>
    <t>Argentina – Rosario – Rio Cuarto</t>
  </si>
  <si>
    <t>Argentina – Mendoza</t>
  </si>
  <si>
    <t>Argentina – Mendoza e Cacheuta</t>
  </si>
  <si>
    <t>Argentina – Mendoza – Potrerillos – las vegas</t>
  </si>
  <si>
    <t>Argentina – Las Vegas</t>
  </si>
  <si>
    <t>Argentina – Las Vegas – Uspallata</t>
  </si>
  <si>
    <t>Argentina – Uspallata – Aconcagua – Puente Inca</t>
  </si>
  <si>
    <t>Onde</t>
  </si>
  <si>
    <t>Mendoza – San Rafael</t>
  </si>
  <si>
    <t>San Rafael</t>
  </si>
  <si>
    <t>San Rafael – Malargue</t>
  </si>
  <si>
    <t>Malargue</t>
  </si>
  <si>
    <t>Malargue – San Rafael</t>
  </si>
  <si>
    <t xml:space="preserve">San Rafael – Neuquen </t>
  </si>
  <si>
    <t>Neuquen – El Chocón</t>
  </si>
  <si>
    <t>Neuquen</t>
  </si>
  <si>
    <t>San Patricio – Cutral Co – Zapala</t>
  </si>
  <si>
    <t>Junin de los Andes</t>
  </si>
  <si>
    <t>Junin – San Martin</t>
  </si>
  <si>
    <t>San Martin</t>
  </si>
  <si>
    <t>San Martin – Bariloche</t>
  </si>
  <si>
    <t>Bariloche</t>
  </si>
  <si>
    <t>total camping</t>
  </si>
  <si>
    <t>total hotel/hostel</t>
  </si>
  <si>
    <t>Bariloche – Puerto Montt</t>
  </si>
  <si>
    <t>Perito Moreno</t>
  </si>
  <si>
    <t>Bajo Caracoles</t>
  </si>
  <si>
    <t>total camping selvagem</t>
  </si>
  <si>
    <t>Governador Gregorio</t>
  </si>
  <si>
    <t>Governador Gregores – ruta</t>
  </si>
  <si>
    <t>El Chaltén</t>
  </si>
  <si>
    <t>El Chaltén – Parque Nacional</t>
  </si>
  <si>
    <t>El Chalten – El Calafate</t>
  </si>
  <si>
    <t>El Calafate</t>
  </si>
  <si>
    <t>Ruta – Polhuin (ver como escreve)</t>
  </si>
  <si>
    <t>Ushuaia</t>
  </si>
  <si>
    <t>Rio Grande</t>
  </si>
  <si>
    <t>Rio Grande – Estrada Terra do Fogo</t>
  </si>
  <si>
    <t>Rio Gallegos</t>
  </si>
  <si>
    <t>Puerto San Julian</t>
  </si>
  <si>
    <t>Puerto San Julian – Comodoro Rivdavia</t>
  </si>
  <si>
    <t>Comodoro – El Bolsón</t>
  </si>
  <si>
    <t>El Bolson</t>
  </si>
  <si>
    <t>El Bolsón</t>
  </si>
  <si>
    <t>El Bolsón – Cholila</t>
  </si>
  <si>
    <t>Parque los alerces</t>
  </si>
  <si>
    <t>total caronas</t>
  </si>
  <si>
    <t>total Bolivia</t>
  </si>
  <si>
    <t>dias Bol</t>
  </si>
  <si>
    <t>media Bol</t>
  </si>
  <si>
    <t>Salar do Uyuni 1</t>
  </si>
  <si>
    <t>Salar do Uyuni 2</t>
  </si>
  <si>
    <t>Uyuni</t>
  </si>
  <si>
    <t>Uyuni-Potosi</t>
  </si>
  <si>
    <t>Potosi</t>
  </si>
  <si>
    <t>Potosi – Macha</t>
  </si>
  <si>
    <t>total Bolívia</t>
  </si>
  <si>
    <t>total Peru</t>
  </si>
  <si>
    <t>Macha</t>
  </si>
  <si>
    <t>dias Peru</t>
  </si>
  <si>
    <t>media peru</t>
  </si>
  <si>
    <t>Macha – Sucre</t>
  </si>
  <si>
    <t>Sucre</t>
  </si>
  <si>
    <t>Sucre – Tarabuco – Sucre</t>
  </si>
  <si>
    <t>Samaipata</t>
  </si>
  <si>
    <t>Samaipata – Sta Cruz – Cochabamba</t>
  </si>
  <si>
    <t>Cochabamba – La Paz</t>
  </si>
  <si>
    <t>La Paz</t>
  </si>
  <si>
    <t>La Paz – Copacabana</t>
  </si>
  <si>
    <t>Copacabana</t>
  </si>
  <si>
    <t>Copacabana – Puno</t>
  </si>
  <si>
    <t>total Equador</t>
  </si>
  <si>
    <t>dias Equador</t>
  </si>
  <si>
    <t>media Equador</t>
  </si>
  <si>
    <t>Reposição (R$)</t>
  </si>
  <si>
    <t>total reposicao</t>
  </si>
  <si>
    <t>total Colombia</t>
  </si>
  <si>
    <t>dias colombia</t>
  </si>
  <si>
    <t>media colombia</t>
  </si>
  <si>
    <t>Ipiales</t>
  </si>
  <si>
    <t>Ipiales – Popayan</t>
  </si>
  <si>
    <t>Popayan</t>
  </si>
  <si>
    <t>Popayan – Tierradentro</t>
  </si>
  <si>
    <t>Tierradentro</t>
  </si>
  <si>
    <t>Tierradentro – Neiva</t>
  </si>
  <si>
    <t>Neiva</t>
  </si>
  <si>
    <t>Neiva – Villavieja</t>
  </si>
  <si>
    <t>Villavieja</t>
  </si>
  <si>
    <t>Villavieja (deserto)</t>
  </si>
  <si>
    <t>Villavieja – Neiva</t>
  </si>
  <si>
    <t>Neiva – Cali</t>
  </si>
  <si>
    <t>Cali</t>
  </si>
  <si>
    <t>ônibus</t>
  </si>
  <si>
    <t>Cali – Armenia</t>
  </si>
  <si>
    <t>Armenia</t>
  </si>
  <si>
    <t>Armenia – Salento</t>
  </si>
  <si>
    <t>Salento – Pereira</t>
  </si>
  <si>
    <t>Pereira</t>
  </si>
  <si>
    <t>reposição</t>
  </si>
  <si>
    <t>Pereira – Medellin</t>
  </si>
  <si>
    <t>Medellin</t>
  </si>
  <si>
    <t>Medellín – Guatapé</t>
  </si>
  <si>
    <t>Guatapé</t>
  </si>
  <si>
    <t>Guatapé – Medellín – Bogotá</t>
  </si>
  <si>
    <t>Bogotá</t>
  </si>
  <si>
    <t>total Venezuela</t>
  </si>
  <si>
    <t>dias Venezuela</t>
  </si>
  <si>
    <t>media Venezuela</t>
  </si>
  <si>
    <t>Bogotá – Villa de Leyva</t>
  </si>
  <si>
    <t>Villa de Leyva</t>
  </si>
  <si>
    <t>Villa de Leyva – Oiba</t>
  </si>
  <si>
    <t>Oibá – Guadalupe</t>
  </si>
  <si>
    <t>Guadalupe</t>
  </si>
  <si>
    <t>Guadalupe – Bucaramanga</t>
  </si>
  <si>
    <t>Bucaramanga</t>
  </si>
  <si>
    <t>Bucaramanga – Ocaña</t>
  </si>
  <si>
    <t>Ocaña – La Playa – Ocaña</t>
  </si>
  <si>
    <t>Ocaña – Cucuta</t>
  </si>
  <si>
    <t>Cucuta – San Cristóbal</t>
  </si>
  <si>
    <t>San Cristóbal – Mérida</t>
  </si>
  <si>
    <t>Mérida</t>
  </si>
  <si>
    <t>Mérida – Tour para o Catatumbo</t>
  </si>
  <si>
    <t>Catatumbo – Mérida</t>
  </si>
  <si>
    <t>Mérida – Coro</t>
  </si>
  <si>
    <t>Coro</t>
  </si>
  <si>
    <t>Coro – Punto Fijo</t>
  </si>
  <si>
    <t>Punto Fijo</t>
  </si>
  <si>
    <t>Punto Fijo – Chichiriviche</t>
  </si>
  <si>
    <t>Chichiriviche</t>
  </si>
  <si>
    <t>Chichiriviche – Caracas</t>
  </si>
  <si>
    <t>Caracas</t>
  </si>
  <si>
    <t>Caracas – Macuto</t>
  </si>
  <si>
    <t>Macuto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</si>
</sst>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"/>
    <numFmt numFmtId="167" formatCode="DD/MM/YY"/>
    <numFmt numFmtId="168" formatCode="[$R$-416]\ #,##0.00;\-[$R$-416]\ #,##0.00"/>
    <numFmt numFmtId="169" formatCode="[$R$-416]\ #,##0;\-[$R$-416]\ #,##0"/>
    <numFmt numFmtId="170" formatCode="[$R$-416]\ #,##0.00;[RED]\-[$R$-416]\ #,##0.00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 horizontal="center"/>
    </xf>
    <xf numFmtId="164" fontId="0" fillId="0" borderId="0" xfId="0" applyAlignment="1">
      <alignment horizontal="center" vertical="center"/>
    </xf>
    <xf numFmtId="164" fontId="0" fillId="2" borderId="0" xfId="0" applyFont="1" applyFill="1" applyAlignment="1">
      <alignment horizontal="center" vertical="center" wrapText="1" shrinkToFit="1"/>
    </xf>
    <xf numFmtId="164" fontId="0" fillId="3" borderId="0" xfId="0" applyFont="1" applyFill="1" applyAlignment="1">
      <alignment horizontal="center" vertical="center" wrapText="1" shrinkToFit="1"/>
    </xf>
    <xf numFmtId="164" fontId="0" fillId="4" borderId="0" xfId="0" applyFont="1" applyFill="1" applyAlignment="1">
      <alignment horizontal="center" vertical="center" wrapText="1" shrinkToFit="1"/>
    </xf>
    <xf numFmtId="164" fontId="0" fillId="5" borderId="0" xfId="0" applyFont="1" applyFill="1" applyAlignment="1">
      <alignment horizontal="center" vertical="center" wrapText="1" shrinkToFit="1"/>
    </xf>
    <xf numFmtId="164" fontId="0" fillId="6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70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70" fontId="0" fillId="0" borderId="0" xfId="0" applyAlignment="1">
      <alignment horizontal="center"/>
    </xf>
    <xf numFmtId="170" fontId="0" fillId="0" borderId="0" xfId="0" applyAlignment="1">
      <alignment/>
    </xf>
    <xf numFmtId="170" fontId="0" fillId="3" borderId="0" xfId="0" applyFill="1" applyAlignment="1">
      <alignment horizontal="center"/>
    </xf>
    <xf numFmtId="168" fontId="0" fillId="3" borderId="0" xfId="0" applyFill="1" applyAlignment="1">
      <alignment horizontal="center"/>
    </xf>
    <xf numFmtId="170" fontId="0" fillId="3" borderId="0" xfId="0" applyFill="1" applyAlignment="1">
      <alignment/>
    </xf>
    <xf numFmtId="168" fontId="0" fillId="3" borderId="0" xfId="0" applyFill="1" applyAlignment="1">
      <alignment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5" fontId="0" fillId="8" borderId="0" xfId="0" applyNumberFormat="1" applyFont="1" applyFill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8" borderId="0" xfId="0" applyNumberFormat="1" applyFill="1" applyAlignment="1">
      <alignment horizontal="left"/>
    </xf>
    <xf numFmtId="164" fontId="0" fillId="9" borderId="0" xfId="0" applyFont="1" applyFill="1" applyAlignment="1">
      <alignment horizontal="center"/>
    </xf>
    <xf numFmtId="169" fontId="0" fillId="9" borderId="0" xfId="0" applyNumberFormat="1" applyFill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9" borderId="0" xfId="0" applyFill="1" applyAlignment="1">
      <alignment/>
    </xf>
    <xf numFmtId="164" fontId="0" fillId="0" borderId="6" xfId="0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4" xfId="0" applyFill="1" applyBorder="1" applyAlignment="1">
      <alignment/>
    </xf>
    <xf numFmtId="165" fontId="0" fillId="9" borderId="0" xfId="0" applyNumberFormat="1" applyFill="1" applyAlignment="1">
      <alignment horizontal="center"/>
    </xf>
    <xf numFmtId="164" fontId="0" fillId="10" borderId="0" xfId="0" applyFont="1" applyFill="1" applyAlignment="1">
      <alignment horizontal="center"/>
    </xf>
    <xf numFmtId="165" fontId="0" fillId="10" borderId="0" xfId="0" applyNumberFormat="1" applyFont="1" applyFill="1" applyAlignment="1">
      <alignment horizontal="center"/>
    </xf>
    <xf numFmtId="165" fontId="0" fillId="10" borderId="0" xfId="0" applyNumberFormat="1" applyFill="1" applyAlignment="1">
      <alignment horizontal="left"/>
    </xf>
    <xf numFmtId="168" fontId="0" fillId="9" borderId="0" xfId="0" applyNumberFormat="1" applyFill="1" applyAlignment="1">
      <alignment horizontal="center"/>
    </xf>
    <xf numFmtId="164" fontId="0" fillId="9" borderId="0" xfId="0" applyFont="1" applyFill="1" applyAlignment="1">
      <alignment horizontal="left"/>
    </xf>
    <xf numFmtId="164" fontId="0" fillId="0" borderId="0" xfId="0" applyFont="1" applyFill="1" applyAlignment="1">
      <alignment horizontal="justify"/>
    </xf>
    <xf numFmtId="164" fontId="1" fillId="7" borderId="0" xfId="0" applyFont="1" applyFill="1" applyAlignment="1">
      <alignment horizontal="center"/>
    </xf>
    <xf numFmtId="164" fontId="0" fillId="1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99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CCFFCC"/>
      <rgbColor rgb="00FFFF99"/>
      <rgbColor rgb="0083CAFF"/>
      <rgbColor rgb="00FF9999"/>
      <rgbColor rgb="00CC99FF"/>
      <rgbColor rgb="00FFCC99"/>
      <rgbColor rgb="003366FF"/>
      <rgbColor rgb="0033FF99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chile!$AG$8:$AG$13</c:f>
              <c:strCache/>
            </c:strRef>
          </c:cat>
          <c:val>
            <c:numRef>
              <c:f>chile!$AH$8:$AH$13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0175"/>
          <c:w val="0.50875"/>
          <c:h val="0.916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Geral!$F$1:$L$1</c:f>
              <c:strCache/>
            </c:strRef>
          </c:cat>
          <c:val>
            <c:numRef>
              <c:f>Geral!$F$25:$L$25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77"/>
          <c:w val="0.685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Geral!$E$1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Geral!$E$2:$E$15</c:f>
              <c:numCache/>
            </c:numRef>
          </c:val>
        </c:ser>
        <c:ser>
          <c:idx val="1"/>
          <c:order val="1"/>
          <c:tx>
            <c:strRef>
              <c:f>Geral!$F$1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Geral!$F$2:$F$15</c:f>
              <c:numCache/>
            </c:numRef>
          </c:val>
        </c:ser>
        <c:ser>
          <c:idx val="2"/>
          <c:order val="2"/>
          <c:tx>
            <c:strRef>
              <c:f>Geral!$G$1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Geral!$G$2:$G$15</c:f>
              <c:numCache/>
            </c:numRef>
          </c:val>
        </c:ser>
        <c:ser>
          <c:idx val="3"/>
          <c:order val="3"/>
          <c:tx>
            <c:strRef>
              <c:f>Geral!$H$1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Geral!$H$2:$H$15</c:f>
              <c:numCache/>
            </c:numRef>
          </c:val>
        </c:ser>
        <c:ser>
          <c:idx val="4"/>
          <c:order val="4"/>
          <c:tx>
            <c:strRef>
              <c:f>Geral!$I$1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Geral!$I$2:$I$15</c:f>
              <c:numCache/>
            </c:numRef>
          </c:val>
        </c:ser>
        <c:ser>
          <c:idx val="5"/>
          <c:order val="5"/>
          <c:tx>
            <c:strRef>
              <c:f>Geral!$J$1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Geral!$J$2:$J$15</c:f>
              <c:numCache/>
            </c:numRef>
          </c:val>
        </c:ser>
        <c:ser>
          <c:idx val="6"/>
          <c:order val="6"/>
          <c:tx>
            <c:strRef>
              <c:f>Geral!$K$1</c:f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Geral!$K$2:$K$15</c:f>
              <c:numCache/>
            </c:numRef>
          </c:val>
        </c:ser>
        <c:ser>
          <c:idx val="7"/>
          <c:order val="7"/>
          <c:tx>
            <c:strRef>
              <c:f>Geral!$L$1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Geral!$L$2:$L$15</c:f>
              <c:numCache/>
            </c:numRef>
          </c:val>
        </c:ser>
        <c:gapWidth val="100"/>
        <c:axId val="3893272"/>
        <c:axId val="36163001"/>
      </c:barChart>
      <c:dateAx>
        <c:axId val="3893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63001"/>
        <c:crossesAt val="0"/>
        <c:auto val="0"/>
        <c:noMultiLvlLbl val="0"/>
      </c:dateAx>
      <c:valAx>
        <c:axId val="361630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32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5175"/>
          <c:w val="0.361"/>
          <c:h val="0.91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'set-out-2015'!$AC$8:$AC$12</c:f>
              <c:strCache/>
            </c:strRef>
          </c:cat>
          <c:val>
            <c:numRef>
              <c:f>'set-out-2015'!$AD$8:$AD$12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41"/>
          <c:y val="0.19225"/>
          <c:w val="0.55875"/>
          <c:h val="0.6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06475"/>
          <c:w val="0.35375"/>
          <c:h val="0.918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'Nov - 2015'!$AC$8:$AC$12</c:f>
              <c:strCache/>
            </c:strRef>
          </c:cat>
          <c:val>
            <c:numRef>
              <c:f>'Nov - 2015'!$AD$8:$AD$12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31"/>
          <c:y val="0.18725"/>
          <c:w val="0.457"/>
          <c:h val="0.6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0645"/>
          <c:w val="0.35375"/>
          <c:h val="0.918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'Dez-2015'!$AD$8:$AD$12</c:f>
              <c:strCache/>
            </c:strRef>
          </c:cat>
          <c:val>
            <c:numRef>
              <c:f>'Dez-2015'!$AE$8:$AE$12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31"/>
          <c:y val="0.18725"/>
          <c:w val="0.457"/>
          <c:h val="0.6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'Fev 2016'!$AG$8:$AG$13</c:f>
              <c:strCache/>
            </c:strRef>
          </c:cat>
          <c:val>
            <c:numRef>
              <c:f>'Fev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'Mar 2016'!$AG$8:$AG$13</c:f>
              <c:strCache/>
            </c:strRef>
          </c:cat>
          <c:val>
            <c:numRef>
              <c:f>'Mar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75"/>
          <c:y val="0.0622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'abr 2016'!$AG$8:$AG$13</c:f>
              <c:strCache/>
            </c:strRef>
          </c:cat>
          <c:val>
            <c:numRef>
              <c:f>'abr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304"/>
          <c:w val="0.1505"/>
          <c:h val="0.3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07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'abr 2016'!$AJ$5:$AJ$9</c:f>
              <c:strCache/>
            </c:strRef>
          </c:cat>
          <c:val>
            <c:numRef>
              <c:f>'abr 2016'!$AK$5:$AK$9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'maio 2016'!$AG$8:$AG$13</c:f>
              <c:strCache/>
            </c:strRef>
          </c:cat>
          <c:val>
            <c:numRef>
              <c:f>'maio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447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chile!$AJ$4:$AJ$10</c:f>
              <c:strCache/>
            </c:strRef>
          </c:cat>
          <c:val>
            <c:numRef>
              <c:f>chile!$AK$4:$AK$10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.0757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'maio 2016'!$AJ$4:$AJ$9</c:f>
              <c:strCache/>
            </c:strRef>
          </c:cat>
          <c:val>
            <c:numRef>
              <c:f>'maio 2016'!$AK$4:$AK$9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'junho 2016'!$AG$8:$AG$13</c:f>
              <c:strCache/>
            </c:strRef>
          </c:cat>
          <c:val>
            <c:numRef>
              <c:f>'junho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'julho 2016'!$AG$8:$AG$13</c:f>
              <c:strCache/>
            </c:strRef>
          </c:cat>
          <c:val>
            <c:numRef>
              <c:f>'julho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'ago 2016'!$AI$8:$AI$13</c:f>
              <c:strCache/>
            </c:strRef>
          </c:cat>
          <c:val>
            <c:numRef>
              <c:f>'ago 2016'!$AJ$8:$AJ$13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'set 2016'!$AI$8:$AI$13</c:f>
              <c:strCache/>
            </c:strRef>
          </c:cat>
          <c:val>
            <c:numRef>
              <c:f>'set 2016'!$AJ$8:$AJ$13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chile!$AJ$2:$AJ$3</c:f>
              <c:strCache/>
            </c:strRef>
          </c:cat>
          <c:val>
            <c:numRef>
              <c:f>chile!$AK$2:$AK$3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11775"/>
          <c:w val="0.509"/>
          <c:h val="0.750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Peru!$AG$8:$AG$13</c:f>
              <c:strCache/>
            </c:strRef>
          </c:cat>
          <c:val>
            <c:numRef>
              <c:f>Peru!$AH$8:$AH$13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5175"/>
          <c:w val="0.50875"/>
          <c:h val="0.916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cat>
            <c:strRef>
              <c:f>(Peru!$AJ$5:$AJ$6,Peru!$AJ$8:$AJ$9)</c:f>
              <c:strCache/>
            </c:strRef>
          </c:cat>
          <c:val>
            <c:numRef>
              <c:f>(Peru!$AK$5:$AK$6,Peru!$AK$8:$AK$9)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11775"/>
          <c:w val="0.509"/>
          <c:h val="0.750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Equador!$AI$8:$AI$13</c:f>
              <c:strCache/>
            </c:strRef>
          </c:cat>
          <c:val>
            <c:numRef>
              <c:f>Equador!$AJ$8:$AJ$13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5175"/>
          <c:w val="0.50875"/>
          <c:h val="0.916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cat>
            <c:strRef>
              <c:f>(Equador!$AL$5:$AL$6,Equador!$AL$8:$AL$9)</c:f>
              <c:strCache/>
            </c:strRef>
          </c:cat>
          <c:val>
            <c:numRef>
              <c:f>(Equador!$AM$5:$AM$6,Equador!$AM$8:$AM$9)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0165"/>
          <c:w val="0.50875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elete val="1"/>
          </c:dLbls>
          <c:cat>
            <c:strRef>
              <c:f>Geral!$N$1:$U$1</c:f>
              <c:strCache/>
            </c:strRef>
          </c:cat>
          <c:val>
            <c:numRef>
              <c:f>Geral!$N$23:$U$23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23675"/>
          <c:w val="0.155"/>
          <c:h val="0.4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525"/>
          <c:w val="0.50875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Geral!$V$1:$W$1</c:f>
              <c:strCache/>
            </c:strRef>
          </c:cat>
          <c:val>
            <c:numRef>
              <c:f>Geral!$V$23:$W$23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1575"/>
          <c:y val="0.4455"/>
          <c:w val="0.198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228600</xdr:colOff>
      <xdr:row>17</xdr:row>
      <xdr:rowOff>133350</xdr:rowOff>
    </xdr:from>
    <xdr:to>
      <xdr:col>47</xdr:col>
      <xdr:colOff>104775</xdr:colOff>
      <xdr:row>37</xdr:row>
      <xdr:rowOff>123825</xdr:rowOff>
    </xdr:to>
    <xdr:graphicFrame>
      <xdr:nvGraphicFramePr>
        <xdr:cNvPr id="1" name="Chart 40"/>
        <xdr:cNvGraphicFramePr/>
      </xdr:nvGraphicFramePr>
      <xdr:xfrm>
        <a:off x="26974800" y="2886075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771525</xdr:colOff>
      <xdr:row>39</xdr:row>
      <xdr:rowOff>152400</xdr:rowOff>
    </xdr:from>
    <xdr:to>
      <xdr:col>38</xdr:col>
      <xdr:colOff>504825</xdr:colOff>
      <xdr:row>59</xdr:row>
      <xdr:rowOff>142875</xdr:rowOff>
    </xdr:to>
    <xdr:graphicFrame>
      <xdr:nvGraphicFramePr>
        <xdr:cNvPr id="2" name="Chart 41"/>
        <xdr:cNvGraphicFramePr/>
      </xdr:nvGraphicFramePr>
      <xdr:xfrm>
        <a:off x="20888325" y="64674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752475</xdr:colOff>
      <xdr:row>19</xdr:row>
      <xdr:rowOff>66675</xdr:rowOff>
    </xdr:from>
    <xdr:to>
      <xdr:col>38</xdr:col>
      <xdr:colOff>485775</xdr:colOff>
      <xdr:row>39</xdr:row>
      <xdr:rowOff>57150</xdr:rowOff>
    </xdr:to>
    <xdr:graphicFrame>
      <xdr:nvGraphicFramePr>
        <xdr:cNvPr id="3" name="Chart 42"/>
        <xdr:cNvGraphicFramePr/>
      </xdr:nvGraphicFramePr>
      <xdr:xfrm>
        <a:off x="20869275" y="3143250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11</xdr:row>
      <xdr:rowOff>85725</xdr:rowOff>
    </xdr:from>
    <xdr:to>
      <xdr:col>45</xdr:col>
      <xdr:colOff>38100</xdr:colOff>
      <xdr:row>31</xdr:row>
      <xdr:rowOff>76200</xdr:rowOff>
    </xdr:to>
    <xdr:graphicFrame>
      <xdr:nvGraphicFramePr>
        <xdr:cNvPr id="1" name="Chart 21"/>
        <xdr:cNvGraphicFramePr/>
      </xdr:nvGraphicFramePr>
      <xdr:xfrm>
        <a:off x="25917525" y="18669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523875</xdr:colOff>
      <xdr:row>24</xdr:row>
      <xdr:rowOff>85725</xdr:rowOff>
    </xdr:from>
    <xdr:to>
      <xdr:col>35</xdr:col>
      <xdr:colOff>1600200</xdr:colOff>
      <xdr:row>44</xdr:row>
      <xdr:rowOff>76200</xdr:rowOff>
    </xdr:to>
    <xdr:graphicFrame>
      <xdr:nvGraphicFramePr>
        <xdr:cNvPr id="2" name="Chart 22"/>
        <xdr:cNvGraphicFramePr/>
      </xdr:nvGraphicFramePr>
      <xdr:xfrm>
        <a:off x="19983450" y="3971925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7</xdr:row>
      <xdr:rowOff>152400</xdr:rowOff>
    </xdr:from>
    <xdr:to>
      <xdr:col>45</xdr:col>
      <xdr:colOff>552450</xdr:colOff>
      <xdr:row>26</xdr:row>
      <xdr:rowOff>142875</xdr:rowOff>
    </xdr:to>
    <xdr:graphicFrame>
      <xdr:nvGraphicFramePr>
        <xdr:cNvPr id="1" name="Chart 30"/>
        <xdr:cNvGraphicFramePr/>
      </xdr:nvGraphicFramePr>
      <xdr:xfrm>
        <a:off x="26555700" y="1285875"/>
        <a:ext cx="5457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333375</xdr:colOff>
      <xdr:row>15</xdr:row>
      <xdr:rowOff>38100</xdr:rowOff>
    </xdr:from>
    <xdr:to>
      <xdr:col>35</xdr:col>
      <xdr:colOff>1409700</xdr:colOff>
      <xdr:row>35</xdr:row>
      <xdr:rowOff>19050</xdr:rowOff>
    </xdr:to>
    <xdr:graphicFrame>
      <xdr:nvGraphicFramePr>
        <xdr:cNvPr id="2" name="Chart 31"/>
        <xdr:cNvGraphicFramePr/>
      </xdr:nvGraphicFramePr>
      <xdr:xfrm>
        <a:off x="19907250" y="2466975"/>
        <a:ext cx="5457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11</xdr:row>
      <xdr:rowOff>85725</xdr:rowOff>
    </xdr:from>
    <xdr:to>
      <xdr:col>45</xdr:col>
      <xdr:colOff>333375</xdr:colOff>
      <xdr:row>30</xdr:row>
      <xdr:rowOff>76200</xdr:rowOff>
    </xdr:to>
    <xdr:graphicFrame>
      <xdr:nvGraphicFramePr>
        <xdr:cNvPr id="1" name="Chart 27"/>
        <xdr:cNvGraphicFramePr/>
      </xdr:nvGraphicFramePr>
      <xdr:xfrm>
        <a:off x="25250775" y="1866900"/>
        <a:ext cx="5848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11</xdr:row>
      <xdr:rowOff>85725</xdr:rowOff>
    </xdr:from>
    <xdr:to>
      <xdr:col>45</xdr:col>
      <xdr:colOff>38100</xdr:colOff>
      <xdr:row>30</xdr:row>
      <xdr:rowOff>76200</xdr:rowOff>
    </xdr:to>
    <xdr:graphicFrame>
      <xdr:nvGraphicFramePr>
        <xdr:cNvPr id="1" name="Chart 21"/>
        <xdr:cNvGraphicFramePr/>
      </xdr:nvGraphicFramePr>
      <xdr:xfrm>
        <a:off x="25631775" y="1866900"/>
        <a:ext cx="5572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16"/>
        <xdr:cNvGraphicFramePr/>
      </xdr:nvGraphicFramePr>
      <xdr:xfrm>
        <a:off x="27632025" y="1866900"/>
        <a:ext cx="5572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428625</xdr:colOff>
      <xdr:row>9</xdr:row>
      <xdr:rowOff>85725</xdr:rowOff>
    </xdr:from>
    <xdr:to>
      <xdr:col>44</xdr:col>
      <xdr:colOff>590550</xdr:colOff>
      <xdr:row>28</xdr:row>
      <xdr:rowOff>76200</xdr:rowOff>
    </xdr:to>
    <xdr:graphicFrame>
      <xdr:nvGraphicFramePr>
        <xdr:cNvPr id="1" name="Chart 21"/>
        <xdr:cNvGraphicFramePr/>
      </xdr:nvGraphicFramePr>
      <xdr:xfrm>
        <a:off x="25879425" y="1543050"/>
        <a:ext cx="5838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28"/>
        <xdr:cNvGraphicFramePr/>
      </xdr:nvGraphicFramePr>
      <xdr:xfrm>
        <a:off x="26679525" y="1866900"/>
        <a:ext cx="5467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35"/>
        <xdr:cNvGraphicFramePr/>
      </xdr:nvGraphicFramePr>
      <xdr:xfrm>
        <a:off x="26927175" y="1866900"/>
        <a:ext cx="5953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27"/>
        <xdr:cNvGraphicFramePr/>
      </xdr:nvGraphicFramePr>
      <xdr:xfrm>
        <a:off x="26860500" y="1866900"/>
        <a:ext cx="5467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23</xdr:row>
      <xdr:rowOff>19050</xdr:rowOff>
    </xdr:from>
    <xdr:to>
      <xdr:col>34</xdr:col>
      <xdr:colOff>704850</xdr:colOff>
      <xdr:row>43</xdr:row>
      <xdr:rowOff>9525</xdr:rowOff>
    </xdr:to>
    <xdr:graphicFrame>
      <xdr:nvGraphicFramePr>
        <xdr:cNvPr id="1" name="Chart 57"/>
        <xdr:cNvGraphicFramePr/>
      </xdr:nvGraphicFramePr>
      <xdr:xfrm>
        <a:off x="22440900" y="3743325"/>
        <a:ext cx="4495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933450</xdr:colOff>
      <xdr:row>13</xdr:row>
      <xdr:rowOff>133350</xdr:rowOff>
    </xdr:from>
    <xdr:to>
      <xdr:col>42</xdr:col>
      <xdr:colOff>295275</xdr:colOff>
      <xdr:row>33</xdr:row>
      <xdr:rowOff>123825</xdr:rowOff>
    </xdr:to>
    <xdr:graphicFrame>
      <xdr:nvGraphicFramePr>
        <xdr:cNvPr id="2" name="Chart 58"/>
        <xdr:cNvGraphicFramePr/>
      </xdr:nvGraphicFramePr>
      <xdr:xfrm>
        <a:off x="27936825" y="22383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23</xdr:row>
      <xdr:rowOff>19050</xdr:rowOff>
    </xdr:from>
    <xdr:to>
      <xdr:col>36</xdr:col>
      <xdr:colOff>704850</xdr:colOff>
      <xdr:row>43</xdr:row>
      <xdr:rowOff>9525</xdr:rowOff>
    </xdr:to>
    <xdr:graphicFrame>
      <xdr:nvGraphicFramePr>
        <xdr:cNvPr id="1" name="Chart 26"/>
        <xdr:cNvGraphicFramePr/>
      </xdr:nvGraphicFramePr>
      <xdr:xfrm>
        <a:off x="23983950" y="3743325"/>
        <a:ext cx="4495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933450</xdr:colOff>
      <xdr:row>13</xdr:row>
      <xdr:rowOff>133350</xdr:rowOff>
    </xdr:from>
    <xdr:to>
      <xdr:col>44</xdr:col>
      <xdr:colOff>295275</xdr:colOff>
      <xdr:row>33</xdr:row>
      <xdr:rowOff>123825</xdr:rowOff>
    </xdr:to>
    <xdr:graphicFrame>
      <xdr:nvGraphicFramePr>
        <xdr:cNvPr id="2" name="Chart 27"/>
        <xdr:cNvGraphicFramePr/>
      </xdr:nvGraphicFramePr>
      <xdr:xfrm>
        <a:off x="29479875" y="22383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25</xdr:row>
      <xdr:rowOff>76200</xdr:rowOff>
    </xdr:from>
    <xdr:to>
      <xdr:col>33</xdr:col>
      <xdr:colOff>123825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17487900" y="4314825"/>
        <a:ext cx="7515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762000</xdr:colOff>
      <xdr:row>48</xdr:row>
      <xdr:rowOff>142875</xdr:rowOff>
    </xdr:from>
    <xdr:to>
      <xdr:col>29</xdr:col>
      <xdr:colOff>771525</xdr:colOff>
      <xdr:row>68</xdr:row>
      <xdr:rowOff>133350</xdr:rowOff>
    </xdr:to>
    <xdr:graphicFrame>
      <xdr:nvGraphicFramePr>
        <xdr:cNvPr id="2" name="Chart 6"/>
        <xdr:cNvGraphicFramePr/>
      </xdr:nvGraphicFramePr>
      <xdr:xfrm>
        <a:off x="16392525" y="8105775"/>
        <a:ext cx="6172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733425</xdr:colOff>
      <xdr:row>25</xdr:row>
      <xdr:rowOff>95250</xdr:rowOff>
    </xdr:from>
    <xdr:to>
      <xdr:col>21</xdr:col>
      <xdr:colOff>238125</xdr:colOff>
      <xdr:row>45</xdr:row>
      <xdr:rowOff>85725</xdr:rowOff>
    </xdr:to>
    <xdr:graphicFrame>
      <xdr:nvGraphicFramePr>
        <xdr:cNvPr id="3" name="Chart 7"/>
        <xdr:cNvGraphicFramePr/>
      </xdr:nvGraphicFramePr>
      <xdr:xfrm>
        <a:off x="9620250" y="4333875"/>
        <a:ext cx="54768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27</xdr:row>
      <xdr:rowOff>133350</xdr:rowOff>
    </xdr:from>
    <xdr:to>
      <xdr:col>12</xdr:col>
      <xdr:colOff>542925</xdr:colOff>
      <xdr:row>48</xdr:row>
      <xdr:rowOff>57150</xdr:rowOff>
    </xdr:to>
    <xdr:graphicFrame>
      <xdr:nvGraphicFramePr>
        <xdr:cNvPr id="4" name="Chart 8"/>
        <xdr:cNvGraphicFramePr/>
      </xdr:nvGraphicFramePr>
      <xdr:xfrm>
        <a:off x="200025" y="4695825"/>
        <a:ext cx="92297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409575</xdr:colOff>
      <xdr:row>14</xdr:row>
      <xdr:rowOff>47625</xdr:rowOff>
    </xdr:from>
    <xdr:to>
      <xdr:col>32</xdr:col>
      <xdr:colOff>200025</xdr:colOff>
      <xdr:row>24</xdr:row>
      <xdr:rowOff>47625</xdr:rowOff>
    </xdr:to>
    <xdr:graphicFrame>
      <xdr:nvGraphicFramePr>
        <xdr:cNvPr id="1" name="Chart 14"/>
        <xdr:cNvGraphicFramePr/>
      </xdr:nvGraphicFramePr>
      <xdr:xfrm>
        <a:off x="13935075" y="2314575"/>
        <a:ext cx="30003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13</xdr:row>
      <xdr:rowOff>0</xdr:rowOff>
    </xdr:from>
    <xdr:to>
      <xdr:col>31</xdr:col>
      <xdr:colOff>876300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868400" y="2105025"/>
        <a:ext cx="28860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13</xdr:row>
      <xdr:rowOff>0</xdr:rowOff>
    </xdr:from>
    <xdr:to>
      <xdr:col>32</xdr:col>
      <xdr:colOff>876300</xdr:colOff>
      <xdr:row>23</xdr:row>
      <xdr:rowOff>0</xdr:rowOff>
    </xdr:to>
    <xdr:graphicFrame>
      <xdr:nvGraphicFramePr>
        <xdr:cNvPr id="1" name="Chart 19"/>
        <xdr:cNvGraphicFramePr/>
      </xdr:nvGraphicFramePr>
      <xdr:xfrm>
        <a:off x="14030325" y="2105025"/>
        <a:ext cx="28860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14</xdr:row>
      <xdr:rowOff>95250</xdr:rowOff>
    </xdr:from>
    <xdr:to>
      <xdr:col>42</xdr:col>
      <xdr:colOff>161925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9678650" y="2362200"/>
        <a:ext cx="5572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809625</xdr:colOff>
      <xdr:row>11</xdr:row>
      <xdr:rowOff>123825</xdr:rowOff>
    </xdr:from>
    <xdr:to>
      <xdr:col>43</xdr:col>
      <xdr:colOff>314325</xdr:colOff>
      <xdr:row>31</xdr:row>
      <xdr:rowOff>104775</xdr:rowOff>
    </xdr:to>
    <xdr:graphicFrame>
      <xdr:nvGraphicFramePr>
        <xdr:cNvPr id="1" name="Chart 11"/>
        <xdr:cNvGraphicFramePr/>
      </xdr:nvGraphicFramePr>
      <xdr:xfrm>
        <a:off x="24803100" y="1905000"/>
        <a:ext cx="5572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T1">
      <selection activeCell="AQ18" sqref="AQ18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5.710937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X1" s="1" t="s">
        <v>22</v>
      </c>
      <c r="Y1" s="1" t="s">
        <v>23</v>
      </c>
      <c r="Z1" s="4" t="s">
        <v>24</v>
      </c>
      <c r="AB1" s="1" t="s">
        <v>25</v>
      </c>
    </row>
    <row r="2" spans="1:43" ht="12.75">
      <c r="A2" s="5">
        <v>42461</v>
      </c>
      <c r="B2" s="1">
        <f>850*2</f>
        <v>1700</v>
      </c>
      <c r="C2" s="1">
        <f>B2*Y2</f>
        <v>10.01113</v>
      </c>
      <c r="E2" s="1">
        <f>D2*Y2</f>
        <v>0</v>
      </c>
      <c r="G2" s="1">
        <f>F2*Y2</f>
        <v>0</v>
      </c>
      <c r="I2" s="1">
        <f>H2*Y2</f>
        <v>0</v>
      </c>
      <c r="K2" s="1">
        <f>J2*Y2</f>
        <v>0</v>
      </c>
      <c r="L2" s="1">
        <v>8000</v>
      </c>
      <c r="M2" s="1">
        <f>L2*Y2</f>
        <v>47.1112</v>
      </c>
      <c r="N2" s="1" t="s">
        <v>26</v>
      </c>
      <c r="V2" s="1">
        <v>3</v>
      </c>
      <c r="W2" s="1" t="s">
        <v>27</v>
      </c>
      <c r="X2" s="1">
        <f>B2+D2+F2+H2+J2+L2</f>
        <v>9700</v>
      </c>
      <c r="Y2" s="1">
        <v>0.0058889</v>
      </c>
      <c r="Z2" s="2">
        <f>X2*Y2</f>
        <v>57.12233</v>
      </c>
      <c r="AB2" s="1">
        <v>2</v>
      </c>
      <c r="AD2" s="1" t="s">
        <v>28</v>
      </c>
      <c r="AE2" s="1">
        <f>SUM(Z2:Z995)</f>
        <v>6126.454113699998</v>
      </c>
      <c r="AG2" s="1" t="s">
        <v>29</v>
      </c>
      <c r="AH2" s="6">
        <f>AE2/AE5</f>
        <v>72.9339775440476</v>
      </c>
      <c r="AJ2" s="1" t="s">
        <v>30</v>
      </c>
      <c r="AK2" s="1">
        <f>SUM(AK11+AK10+AK9+AK8+AK7+AK4)</f>
        <v>51</v>
      </c>
      <c r="AL2" s="7"/>
      <c r="AM2" s="7" t="s">
        <v>31</v>
      </c>
      <c r="AN2" s="7">
        <f>SUMIF(AB2:AB45,"=1",Z2:Z45)</f>
        <v>0</v>
      </c>
      <c r="AO2" s="7"/>
      <c r="AP2" s="7" t="s">
        <v>32</v>
      </c>
      <c r="AQ2" s="7">
        <f>SUMIF(AB2:AB145,"=2",Z2:Z145)</f>
        <v>6126.454113699998</v>
      </c>
    </row>
    <row r="3" spans="1:43" ht="12.75">
      <c r="A3" s="5">
        <v>42462</v>
      </c>
      <c r="B3" s="1">
        <v>1200</v>
      </c>
      <c r="C3" s="1">
        <f>B3*Y3</f>
        <v>7.06668</v>
      </c>
      <c r="D3" s="1">
        <f>1000+1350</f>
        <v>2350</v>
      </c>
      <c r="E3" s="1">
        <f>D3*Y3</f>
        <v>13.838915</v>
      </c>
      <c r="G3" s="1">
        <f>F3*Y3</f>
        <v>0</v>
      </c>
      <c r="I3" s="1">
        <f>H3*Y3</f>
        <v>0</v>
      </c>
      <c r="K3" s="1">
        <f>J3*Y3</f>
        <v>0</v>
      </c>
      <c r="L3" s="1">
        <v>8000</v>
      </c>
      <c r="M3" s="1">
        <f>L3*Y3</f>
        <v>47.1112</v>
      </c>
      <c r="N3" s="1" t="s">
        <v>26</v>
      </c>
      <c r="W3" s="1" t="s">
        <v>33</v>
      </c>
      <c r="X3" s="1">
        <f>B3+D3+F3+H3+J3+L3</f>
        <v>11550</v>
      </c>
      <c r="Y3" s="1">
        <v>0.0058889</v>
      </c>
      <c r="Z3" s="2">
        <f>X3*Y3</f>
        <v>68.016795</v>
      </c>
      <c r="AB3" s="1">
        <v>2</v>
      </c>
      <c r="AD3" s="8"/>
      <c r="AG3" s="8"/>
      <c r="AH3" s="9"/>
      <c r="AJ3" s="1" t="s">
        <v>34</v>
      </c>
      <c r="AK3" s="1">
        <f>COUNT(L2:L370)</f>
        <v>31</v>
      </c>
      <c r="AM3" s="7" t="s">
        <v>35</v>
      </c>
      <c r="AN3" s="7">
        <f>_xlfn.COUNTIFS(A2:A45,"&lt;&gt;''",AB2:AB45,"=1")</f>
        <v>0</v>
      </c>
      <c r="AO3" s="7"/>
      <c r="AP3" s="7" t="s">
        <v>36</v>
      </c>
      <c r="AQ3" s="7">
        <f>_xlfn.COUNTIFS(A2:A145,"&lt;&gt;''",AB2:AB145,"=2")</f>
        <v>84</v>
      </c>
    </row>
    <row r="4" spans="1:43" ht="12.75">
      <c r="A4" s="5">
        <v>42463</v>
      </c>
      <c r="B4" s="1">
        <v>900</v>
      </c>
      <c r="C4" s="1">
        <f>B4*Y4</f>
        <v>5.300009999999999</v>
      </c>
      <c r="D4" s="1">
        <v>5690</v>
      </c>
      <c r="E4" s="1">
        <f>D4*Y4</f>
        <v>33.507841</v>
      </c>
      <c r="G4" s="1">
        <f>F4*Y4</f>
        <v>0</v>
      </c>
      <c r="I4" s="1">
        <f>H4*Y4</f>
        <v>0</v>
      </c>
      <c r="K4" s="1">
        <f>J4*Y4</f>
        <v>0</v>
      </c>
      <c r="M4" s="1">
        <f>L4*Y4</f>
        <v>0</v>
      </c>
      <c r="O4" s="1" t="s">
        <v>26</v>
      </c>
      <c r="V4" s="1">
        <v>2</v>
      </c>
      <c r="W4" s="1" t="s">
        <v>37</v>
      </c>
      <c r="X4" s="1">
        <f>B4+D4+F4+H4+J4+L4</f>
        <v>6590</v>
      </c>
      <c r="Y4" s="1">
        <v>0.0058889</v>
      </c>
      <c r="Z4" s="2">
        <f>X4*Y4</f>
        <v>38.807851</v>
      </c>
      <c r="AB4" s="1">
        <v>2</v>
      </c>
      <c r="AJ4" s="1" t="s">
        <v>38</v>
      </c>
      <c r="AK4" s="1">
        <f>COUNTA(S2:S500)</f>
        <v>3</v>
      </c>
      <c r="AM4" s="7" t="s">
        <v>39</v>
      </c>
      <c r="AN4" s="7" t="e">
        <f>AN2/AN3</f>
        <v>#DIV/0!</v>
      </c>
      <c r="AO4" s="7"/>
      <c r="AP4" s="7" t="s">
        <v>40</v>
      </c>
      <c r="AQ4" s="7">
        <f>AQ2/AQ3</f>
        <v>72.9339775440476</v>
      </c>
    </row>
    <row r="5" spans="1:37" ht="12.75">
      <c r="A5" s="5">
        <v>42464</v>
      </c>
      <c r="C5" s="1">
        <f>B5*Y5</f>
        <v>0</v>
      </c>
      <c r="D5" s="1">
        <f>1060+3260</f>
        <v>4320</v>
      </c>
      <c r="E5" s="1">
        <f>D5*Y5</f>
        <v>25.440048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O5" s="1" t="s">
        <v>26</v>
      </c>
      <c r="V5" s="1">
        <v>2</v>
      </c>
      <c r="W5" s="1" t="s">
        <v>41</v>
      </c>
      <c r="X5" s="1">
        <f>B5+D5+F5+H5+J5+L5</f>
        <v>4320</v>
      </c>
      <c r="Y5" s="1">
        <v>0.0058889</v>
      </c>
      <c r="Z5" s="2">
        <f>X5*Y5</f>
        <v>25.440048</v>
      </c>
      <c r="AB5" s="1">
        <v>2</v>
      </c>
      <c r="AD5" s="1" t="s">
        <v>42</v>
      </c>
      <c r="AE5" s="1">
        <f>COUNTA(A2:A350)</f>
        <v>84</v>
      </c>
      <c r="AJ5" s="8" t="s">
        <v>13</v>
      </c>
      <c r="AK5" s="8">
        <f>COUNTA(N2:N500)</f>
        <v>20</v>
      </c>
    </row>
    <row r="6" spans="1:37" ht="12.75">
      <c r="A6" s="5">
        <v>42465</v>
      </c>
      <c r="B6" s="1">
        <f>10000+3000</f>
        <v>13000</v>
      </c>
      <c r="C6" s="1">
        <f>B6*Y6</f>
        <v>76.5557</v>
      </c>
      <c r="D6" s="1">
        <v>5755</v>
      </c>
      <c r="E6" s="1">
        <f>D6*Y6</f>
        <v>33.8906195</v>
      </c>
      <c r="G6" s="1">
        <f>F6*Y6</f>
        <v>0</v>
      </c>
      <c r="I6" s="1">
        <f>H6*Y6</f>
        <v>0</v>
      </c>
      <c r="K6" s="1">
        <f>J6*Y6</f>
        <v>0</v>
      </c>
      <c r="L6" s="1">
        <v>22000</v>
      </c>
      <c r="M6" s="1">
        <f>L6*Y6</f>
        <v>129.5558</v>
      </c>
      <c r="P6" s="1" t="s">
        <v>26</v>
      </c>
      <c r="V6" s="1">
        <v>2</v>
      </c>
      <c r="W6" s="1" t="s">
        <v>43</v>
      </c>
      <c r="X6" s="1">
        <f>B6+D6+F6+H6+J6+L6</f>
        <v>40755</v>
      </c>
      <c r="Y6" s="1">
        <v>0.0058889</v>
      </c>
      <c r="Z6" s="2">
        <f>X6*Y6</f>
        <v>240.0021195</v>
      </c>
      <c r="AB6" s="1">
        <v>2</v>
      </c>
      <c r="AD6" s="8"/>
      <c r="AJ6" s="8" t="s">
        <v>44</v>
      </c>
      <c r="AK6" s="1">
        <f>COUNTA(P2:P500)</f>
        <v>11</v>
      </c>
    </row>
    <row r="7" spans="1:37" ht="12.75">
      <c r="A7" s="5">
        <v>42466</v>
      </c>
      <c r="B7" s="1">
        <v>600</v>
      </c>
      <c r="C7" s="1">
        <f>B7*Y7</f>
        <v>3.53334</v>
      </c>
      <c r="D7" s="1">
        <v>3350</v>
      </c>
      <c r="E7" s="1">
        <f>D7*Y7</f>
        <v>19.727815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U7" s="1" t="s">
        <v>26</v>
      </c>
      <c r="V7" s="1">
        <v>1</v>
      </c>
      <c r="W7" s="1" t="s">
        <v>45</v>
      </c>
      <c r="X7" s="1">
        <f>B7+D7+F7+H7+J7+L7</f>
        <v>3950</v>
      </c>
      <c r="Y7" s="1">
        <v>0.0058889</v>
      </c>
      <c r="Z7" s="2">
        <f>X7*Y7</f>
        <v>23.261155</v>
      </c>
      <c r="AB7" s="1">
        <v>2</v>
      </c>
      <c r="AG7" s="1" t="s">
        <v>46</v>
      </c>
      <c r="AJ7" s="1" t="s">
        <v>16</v>
      </c>
      <c r="AK7" s="1">
        <f>COUNTA(Q2:Q500)</f>
        <v>15</v>
      </c>
    </row>
    <row r="8" spans="1:37" ht="12.75">
      <c r="A8" s="5">
        <v>42467</v>
      </c>
      <c r="C8" s="1">
        <f>B8*Y8</f>
        <v>0</v>
      </c>
      <c r="D8" s="1">
        <v>4950</v>
      </c>
      <c r="E8" s="1">
        <f>D8*Y8</f>
        <v>29.150055</v>
      </c>
      <c r="F8" s="1">
        <v>5000</v>
      </c>
      <c r="G8" s="1">
        <f>F8*Y8</f>
        <v>29.444499999999998</v>
      </c>
      <c r="I8" s="1">
        <f>H8*Y8</f>
        <v>0</v>
      </c>
      <c r="K8" s="1">
        <f>J8*Y8</f>
        <v>0</v>
      </c>
      <c r="M8" s="1">
        <f>L8*Y8</f>
        <v>0</v>
      </c>
      <c r="Q8" s="1" t="s">
        <v>26</v>
      </c>
      <c r="R8" s="8"/>
      <c r="V8" s="1">
        <v>1</v>
      </c>
      <c r="W8" s="1" t="s">
        <v>47</v>
      </c>
      <c r="X8" s="1">
        <f>B8+D8+F8+H8+J8+L8</f>
        <v>9950</v>
      </c>
      <c r="Y8" s="1">
        <v>0.0058889</v>
      </c>
      <c r="Z8" s="2">
        <f>X8*Y8</f>
        <v>58.594555</v>
      </c>
      <c r="AB8" s="1">
        <v>2</v>
      </c>
      <c r="AD8" s="1" t="s">
        <v>48</v>
      </c>
      <c r="AE8" s="4">
        <f>SUM(M2:M995)</f>
        <v>2003.8817000000004</v>
      </c>
      <c r="AG8" s="1" t="s">
        <v>11</v>
      </c>
      <c r="AH8" s="4">
        <f>AE8/$AE$5</f>
        <v>23.855734523809527</v>
      </c>
      <c r="AJ8" s="8" t="s">
        <v>14</v>
      </c>
      <c r="AK8" s="8">
        <f>COUNTA(O2:O500)</f>
        <v>10</v>
      </c>
    </row>
    <row r="9" spans="1:37" ht="12.75">
      <c r="A9" s="5">
        <v>42468</v>
      </c>
      <c r="C9" s="1">
        <f>B9*Y9</f>
        <v>0</v>
      </c>
      <c r="D9" s="1">
        <v>1000</v>
      </c>
      <c r="E9" s="1">
        <f>D9*Y9</f>
        <v>5.8889</v>
      </c>
      <c r="G9" s="1">
        <f>F9*Y9</f>
        <v>0</v>
      </c>
      <c r="H9" s="1">
        <v>8000</v>
      </c>
      <c r="I9" s="1">
        <f>H9*Y9</f>
        <v>47.1112</v>
      </c>
      <c r="K9" s="1">
        <f>J9*Y9</f>
        <v>0</v>
      </c>
      <c r="M9" s="1">
        <f>L9*Y9</f>
        <v>0</v>
      </c>
      <c r="Q9" s="1" t="s">
        <v>26</v>
      </c>
      <c r="R9" s="8"/>
      <c r="W9" s="1" t="s">
        <v>49</v>
      </c>
      <c r="X9" s="1">
        <f>B9+D9+F9+H9+J9+L9</f>
        <v>9000</v>
      </c>
      <c r="Y9" s="1">
        <v>0.0058889</v>
      </c>
      <c r="Z9" s="2">
        <f>X9*Y9</f>
        <v>53.000099999999996</v>
      </c>
      <c r="AB9" s="1">
        <v>2</v>
      </c>
      <c r="AD9" s="1" t="s">
        <v>50</v>
      </c>
      <c r="AE9" s="1">
        <f>SUM(C2:C995)</f>
        <v>831.3444059999998</v>
      </c>
      <c r="AG9" s="1" t="s">
        <v>1</v>
      </c>
      <c r="AH9" s="1">
        <f>AE9/$AE$5</f>
        <v>9.896957214285711</v>
      </c>
      <c r="AJ9" s="8" t="s">
        <v>17</v>
      </c>
      <c r="AK9" s="1">
        <f>COUNTA(R2:R500)</f>
        <v>21</v>
      </c>
    </row>
    <row r="10" spans="1:37" ht="12.75">
      <c r="A10" s="5">
        <v>42469</v>
      </c>
      <c r="C10" s="1">
        <f>B10*Y10</f>
        <v>0</v>
      </c>
      <c r="D10" s="1">
        <v>3370</v>
      </c>
      <c r="E10" s="1">
        <f>D10*Y10</f>
        <v>19.845593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Q10" s="1" t="s">
        <v>26</v>
      </c>
      <c r="R10" s="8"/>
      <c r="W10" s="1" t="s">
        <v>49</v>
      </c>
      <c r="X10" s="1">
        <f>B10+D10+F10+H10+J10+L10</f>
        <v>3370</v>
      </c>
      <c r="Y10" s="1">
        <v>0.0058889</v>
      </c>
      <c r="Z10" s="2">
        <f>X10*Y10</f>
        <v>19.845593</v>
      </c>
      <c r="AB10" s="1">
        <v>2</v>
      </c>
      <c r="AD10" s="1" t="s">
        <v>51</v>
      </c>
      <c r="AE10" s="4">
        <f>SUM(E2:E995)</f>
        <v>1777.8188636999996</v>
      </c>
      <c r="AG10" s="1" t="s">
        <v>52</v>
      </c>
      <c r="AH10" s="1">
        <f>AE10/$AE$5</f>
        <v>21.164510282142853</v>
      </c>
      <c r="AJ10" s="1" t="s">
        <v>53</v>
      </c>
      <c r="AK10" s="1">
        <f>COUNTA(U2:U500)</f>
        <v>2</v>
      </c>
    </row>
    <row r="11" spans="1:37" ht="12.75">
      <c r="A11" s="5">
        <v>42470</v>
      </c>
      <c r="C11" s="1">
        <f>B11*Y11</f>
        <v>0</v>
      </c>
      <c r="D11" s="1">
        <v>3440</v>
      </c>
      <c r="E11" s="1">
        <f>D11*Y11</f>
        <v>20.257816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Q11" s="1" t="s">
        <v>26</v>
      </c>
      <c r="R11" s="8"/>
      <c r="W11" s="1" t="s">
        <v>49</v>
      </c>
      <c r="X11" s="1">
        <f>B11+D11+F11+H11+J11+L11</f>
        <v>3440</v>
      </c>
      <c r="Y11" s="1">
        <v>0.0058889</v>
      </c>
      <c r="Z11" s="2">
        <f>X11*Y11</f>
        <v>20.257816</v>
      </c>
      <c r="AB11" s="1">
        <v>2</v>
      </c>
      <c r="AD11" s="1" t="s">
        <v>54</v>
      </c>
      <c r="AE11" s="4">
        <f>SUM(G2:G995)</f>
        <v>386.22113</v>
      </c>
      <c r="AG11" s="1" t="s">
        <v>55</v>
      </c>
      <c r="AH11" s="4">
        <f>AE11/$AE$5</f>
        <v>4.597870595238096</v>
      </c>
      <c r="AJ11" s="1" t="s">
        <v>56</v>
      </c>
      <c r="AK11" s="1">
        <f>COUNTA(T2:T500)</f>
        <v>0</v>
      </c>
    </row>
    <row r="12" spans="1:34" ht="12.75">
      <c r="A12" s="5">
        <v>42471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Q12" s="1" t="s">
        <v>26</v>
      </c>
      <c r="R12" s="8"/>
      <c r="W12" s="1" t="s">
        <v>49</v>
      </c>
      <c r="X12" s="1">
        <f>B12+D12+F12+H12+J12+L12</f>
        <v>0</v>
      </c>
      <c r="Y12" s="1">
        <v>0.0058889</v>
      </c>
      <c r="Z12" s="2">
        <f>X12*Y12</f>
        <v>0</v>
      </c>
      <c r="AB12" s="1">
        <v>2</v>
      </c>
      <c r="AD12" s="1" t="s">
        <v>57</v>
      </c>
      <c r="AE12" s="4">
        <f>SUM(K2:K995)</f>
        <v>138.54415</v>
      </c>
      <c r="AG12" s="1" t="s">
        <v>9</v>
      </c>
      <c r="AH12" s="4">
        <f>AE12/$AE$5</f>
        <v>1.649335119047619</v>
      </c>
    </row>
    <row r="13" spans="1:34" ht="12.75">
      <c r="A13" s="5">
        <v>42472</v>
      </c>
      <c r="C13" s="1">
        <f>B13*Y13</f>
        <v>0</v>
      </c>
      <c r="E13" s="1">
        <f>D13*Y13</f>
        <v>0</v>
      </c>
      <c r="G13" s="1">
        <f>F13*Y13</f>
        <v>0</v>
      </c>
      <c r="H13" s="1">
        <v>6000</v>
      </c>
      <c r="I13" s="1">
        <f>H13*Y13</f>
        <v>35.3334</v>
      </c>
      <c r="K13" s="1">
        <f>J13*Y13</f>
        <v>0</v>
      </c>
      <c r="M13" s="1">
        <f>L13*Y13</f>
        <v>0</v>
      </c>
      <c r="Q13" s="1" t="s">
        <v>26</v>
      </c>
      <c r="R13" s="8"/>
      <c r="W13" s="1" t="s">
        <v>49</v>
      </c>
      <c r="X13" s="1">
        <f>B13+D13+F13+H13+J13+L13</f>
        <v>6000</v>
      </c>
      <c r="Y13" s="1">
        <v>0.0058889</v>
      </c>
      <c r="Z13" s="2">
        <f>X13*Y13</f>
        <v>35.3334</v>
      </c>
      <c r="AB13" s="1">
        <v>2</v>
      </c>
      <c r="AD13" s="1" t="s">
        <v>58</v>
      </c>
      <c r="AE13" s="1">
        <f>SUM(I2:I995)</f>
        <v>988.6438639999999</v>
      </c>
      <c r="AG13" s="1" t="s">
        <v>7</v>
      </c>
      <c r="AH13" s="4">
        <f>AE13/$AE$5</f>
        <v>11.769569809523809</v>
      </c>
    </row>
    <row r="14" spans="1:28" ht="12.75">
      <c r="A14" s="5">
        <v>-614964</v>
      </c>
      <c r="C14" s="1">
        <f>B14*Y14</f>
        <v>0</v>
      </c>
      <c r="D14" s="1">
        <f>890+850+1300</f>
        <v>3040</v>
      </c>
      <c r="E14" s="1">
        <f>D14*Y14</f>
        <v>17.902256</v>
      </c>
      <c r="F14" s="1">
        <v>6000</v>
      </c>
      <c r="G14" s="1">
        <f>F14*Y14</f>
        <v>35.3334</v>
      </c>
      <c r="I14" s="1">
        <f>H14*Y14</f>
        <v>0</v>
      </c>
      <c r="K14" s="1">
        <f>J14*Y14</f>
        <v>0</v>
      </c>
      <c r="M14" s="1">
        <f>L14*Y14</f>
        <v>0</v>
      </c>
      <c r="Q14" s="1" t="s">
        <v>26</v>
      </c>
      <c r="R14" s="8"/>
      <c r="W14" s="1" t="s">
        <v>49</v>
      </c>
      <c r="X14" s="1">
        <f>B14+D14+F14+H14+J14+L14</f>
        <v>9040</v>
      </c>
      <c r="Y14" s="1">
        <v>0.0058889</v>
      </c>
      <c r="Z14" s="2">
        <f>X14*Y14</f>
        <v>53.235656</v>
      </c>
      <c r="AB14" s="1">
        <v>2</v>
      </c>
    </row>
    <row r="15" spans="1:31" ht="12.75">
      <c r="A15" s="5">
        <v>42474</v>
      </c>
      <c r="C15" s="1">
        <f>B15*Y15</f>
        <v>0</v>
      </c>
      <c r="E15" s="1">
        <f>D15*Y15</f>
        <v>0</v>
      </c>
      <c r="F15" s="1">
        <v>7000</v>
      </c>
      <c r="G15" s="1">
        <f>F15*Y15</f>
        <v>41.2223</v>
      </c>
      <c r="H15" s="1">
        <v>30000</v>
      </c>
      <c r="I15" s="1">
        <f>H15*Y15</f>
        <v>176.667</v>
      </c>
      <c r="J15" s="1">
        <v>1000</v>
      </c>
      <c r="K15" s="1">
        <f>J15*Y15</f>
        <v>5.8889</v>
      </c>
      <c r="M15" s="1">
        <f>L15*Y15</f>
        <v>0</v>
      </c>
      <c r="Q15" s="1" t="s">
        <v>26</v>
      </c>
      <c r="R15" s="8"/>
      <c r="W15" s="1" t="s">
        <v>49</v>
      </c>
      <c r="X15" s="1">
        <f>B15+D15+F15+H15+J15+L15</f>
        <v>38000</v>
      </c>
      <c r="Y15" s="1">
        <v>0.0058889</v>
      </c>
      <c r="Z15" s="2">
        <f>X15*Y15</f>
        <v>223.7782</v>
      </c>
      <c r="AB15" s="1">
        <v>2</v>
      </c>
      <c r="AD15" s="8"/>
      <c r="AE15" s="8"/>
    </row>
    <row r="16" spans="1:30" ht="12.75">
      <c r="A16" s="5">
        <v>42475</v>
      </c>
      <c r="C16" s="1">
        <f>B16*Y16</f>
        <v>0</v>
      </c>
      <c r="E16" s="1">
        <f>D16*Y16</f>
        <v>0</v>
      </c>
      <c r="F16" s="1">
        <v>5000</v>
      </c>
      <c r="G16" s="1">
        <f>F16*Y16</f>
        <v>29.444499999999998</v>
      </c>
      <c r="H16" s="1">
        <f>17000*2</f>
        <v>34000</v>
      </c>
      <c r="I16" s="1">
        <f>H16*Y16</f>
        <v>200.2226</v>
      </c>
      <c r="K16" s="1">
        <f>J16*Y16</f>
        <v>0</v>
      </c>
      <c r="M16" s="1">
        <f>L16*Y16</f>
        <v>0</v>
      </c>
      <c r="Q16" s="1" t="s">
        <v>26</v>
      </c>
      <c r="R16" s="8"/>
      <c r="W16" s="1" t="s">
        <v>49</v>
      </c>
      <c r="X16" s="1">
        <f>B16+D16+F16+H16+J16+L16</f>
        <v>39000</v>
      </c>
      <c r="Y16" s="1">
        <v>0.0058889</v>
      </c>
      <c r="Z16" s="2">
        <f>X16*Y16</f>
        <v>229.6671</v>
      </c>
      <c r="AB16" s="1">
        <v>2</v>
      </c>
      <c r="AD16" s="8"/>
    </row>
    <row r="17" spans="1:28" ht="12.75">
      <c r="A17" s="5">
        <v>42476</v>
      </c>
      <c r="C17" s="1">
        <f>B17*Y17</f>
        <v>0</v>
      </c>
      <c r="D17" s="1">
        <v>1480</v>
      </c>
      <c r="E17" s="1">
        <f>D17*Y17</f>
        <v>8.715572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Q17" s="1" t="s">
        <v>26</v>
      </c>
      <c r="R17" s="8"/>
      <c r="W17" s="1" t="s">
        <v>49</v>
      </c>
      <c r="X17" s="1">
        <f>B17+D17+F17+H17+J17+L17</f>
        <v>1480</v>
      </c>
      <c r="Y17" s="1">
        <v>0.0058889</v>
      </c>
      <c r="Z17" s="2">
        <f>X17*Y17</f>
        <v>8.715572</v>
      </c>
      <c r="AB17" s="1">
        <v>2</v>
      </c>
    </row>
    <row r="18" spans="1:31" ht="12.75">
      <c r="A18" s="5">
        <v>42477</v>
      </c>
      <c r="C18" s="1">
        <f>B18*Y18</f>
        <v>0</v>
      </c>
      <c r="D18" s="1">
        <f>700+512</f>
        <v>1212</v>
      </c>
      <c r="E18" s="1">
        <f>D18*Y18</f>
        <v>7.1373467999999995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Q18" s="1" t="s">
        <v>26</v>
      </c>
      <c r="R18" s="8"/>
      <c r="W18" s="1" t="s">
        <v>49</v>
      </c>
      <c r="X18" s="1">
        <f>B18+D18+F18+H18+J18+L18</f>
        <v>1212</v>
      </c>
      <c r="Y18" s="1">
        <v>0.0058889</v>
      </c>
      <c r="Z18" s="2">
        <f>X18*Y18</f>
        <v>7.1373467999999995</v>
      </c>
      <c r="AB18" s="1">
        <v>2</v>
      </c>
      <c r="AD18" s="1" t="s">
        <v>59</v>
      </c>
      <c r="AE18" s="1">
        <f>SUM(V2:V300)</f>
        <v>55</v>
      </c>
    </row>
    <row r="19" spans="1:28" ht="12.75">
      <c r="A19" s="5">
        <v>42478</v>
      </c>
      <c r="C19" s="1">
        <f>B19*Y19</f>
        <v>0</v>
      </c>
      <c r="D19" s="1">
        <v>1190</v>
      </c>
      <c r="E19" s="1">
        <f>D19*Y19</f>
        <v>7.007791</v>
      </c>
      <c r="G19" s="1">
        <f>F19*Y19</f>
        <v>0</v>
      </c>
      <c r="I19" s="1">
        <f>H19*Y19</f>
        <v>0</v>
      </c>
      <c r="K19" s="1">
        <f>J19*Y19</f>
        <v>0</v>
      </c>
      <c r="M19" s="1">
        <f>L19*Y19</f>
        <v>0</v>
      </c>
      <c r="Q19" s="1" t="s">
        <v>26</v>
      </c>
      <c r="R19" s="8"/>
      <c r="W19" s="1" t="s">
        <v>49</v>
      </c>
      <c r="X19" s="1">
        <f>B19+D19+F19+H19+J19+L19</f>
        <v>1190</v>
      </c>
      <c r="Y19" s="1">
        <v>0.0058889</v>
      </c>
      <c r="Z19" s="2">
        <f>X19*Y19</f>
        <v>7.007791</v>
      </c>
      <c r="AB19" s="1">
        <v>2</v>
      </c>
    </row>
    <row r="20" spans="1:28" ht="12.75">
      <c r="A20" s="5">
        <v>42479</v>
      </c>
      <c r="C20" s="1">
        <f>B20*Y20</f>
        <v>0</v>
      </c>
      <c r="D20" s="1">
        <v>1800</v>
      </c>
      <c r="E20" s="1">
        <f>D20*Y20</f>
        <v>10.600019999999999</v>
      </c>
      <c r="G20" s="1">
        <f>F20*Y20</f>
        <v>0</v>
      </c>
      <c r="H20" s="1">
        <v>10000</v>
      </c>
      <c r="I20" s="1">
        <f>H20*Y20</f>
        <v>58.888999999999996</v>
      </c>
      <c r="K20" s="1">
        <f>J20*Y20</f>
        <v>0</v>
      </c>
      <c r="M20" s="1">
        <f>L20*Y20</f>
        <v>0</v>
      </c>
      <c r="Q20" s="1" t="s">
        <v>26</v>
      </c>
      <c r="R20" s="8"/>
      <c r="W20" s="1" t="s">
        <v>49</v>
      </c>
      <c r="X20" s="1">
        <f>B20+D20+F20+H20+J20+L20</f>
        <v>11800</v>
      </c>
      <c r="Y20" s="1">
        <v>0.0058889</v>
      </c>
      <c r="Z20" s="2">
        <f>X20*Y20</f>
        <v>69.48902</v>
      </c>
      <c r="AB20" s="1">
        <v>2</v>
      </c>
    </row>
    <row r="21" spans="1:28" ht="12.75">
      <c r="A21" s="5">
        <v>42480</v>
      </c>
      <c r="C21" s="1">
        <f>B21*Y21</f>
        <v>0</v>
      </c>
      <c r="D21" s="1">
        <f>710</f>
        <v>710</v>
      </c>
      <c r="E21" s="1">
        <f>D21*Y21</f>
        <v>4.181119</v>
      </c>
      <c r="F21" s="1">
        <v>6000</v>
      </c>
      <c r="G21" s="1">
        <f>F21*Y21</f>
        <v>35.3334</v>
      </c>
      <c r="I21" s="1">
        <f>H21*Y21</f>
        <v>0</v>
      </c>
      <c r="K21" s="1">
        <f>J21*Y21</f>
        <v>0</v>
      </c>
      <c r="M21" s="1">
        <f>L21*Y21</f>
        <v>0</v>
      </c>
      <c r="Q21" s="1" t="s">
        <v>26</v>
      </c>
      <c r="R21" s="8"/>
      <c r="W21" s="1" t="s">
        <v>49</v>
      </c>
      <c r="X21" s="1">
        <f>B21+D21+F21+H21+J21+L21</f>
        <v>6710</v>
      </c>
      <c r="Y21" s="1">
        <v>0.0058889</v>
      </c>
      <c r="Z21" s="2">
        <f>X21*Y21</f>
        <v>39.514519</v>
      </c>
      <c r="AB21" s="1">
        <v>2</v>
      </c>
    </row>
    <row r="22" spans="1:28" ht="12.75">
      <c r="A22" s="5">
        <v>42481</v>
      </c>
      <c r="C22" s="1">
        <f>B22*Y22</f>
        <v>0</v>
      </c>
      <c r="D22" s="1">
        <f>6460+800</f>
        <v>7260</v>
      </c>
      <c r="E22" s="1">
        <f>D22*Y22</f>
        <v>42.753414</v>
      </c>
      <c r="F22" s="1">
        <f>5000</f>
        <v>5000</v>
      </c>
      <c r="G22" s="1">
        <f>F22*Y22</f>
        <v>29.444499999999998</v>
      </c>
      <c r="H22" s="1">
        <v>4000</v>
      </c>
      <c r="I22" s="1">
        <f>H22*Y22</f>
        <v>23.5556</v>
      </c>
      <c r="K22" s="1">
        <f>J22*Y22</f>
        <v>0</v>
      </c>
      <c r="M22" s="1">
        <f>L22*Y22</f>
        <v>0</v>
      </c>
      <c r="Q22" s="1" t="s">
        <v>26</v>
      </c>
      <c r="R22" s="8"/>
      <c r="W22" s="1" t="s">
        <v>49</v>
      </c>
      <c r="X22" s="1">
        <f>B22+D22+F22+H22+J22+L22</f>
        <v>16260</v>
      </c>
      <c r="Y22" s="1">
        <v>0.0058889</v>
      </c>
      <c r="Z22" s="2">
        <f>X22*Y22</f>
        <v>95.753514</v>
      </c>
      <c r="AB22" s="1">
        <v>2</v>
      </c>
    </row>
    <row r="23" spans="1:28" ht="12.75">
      <c r="A23" s="5">
        <v>42434</v>
      </c>
      <c r="C23" s="1">
        <f>B23*Y23</f>
        <v>0</v>
      </c>
      <c r="D23" s="1">
        <v>4080</v>
      </c>
      <c r="E23" s="1">
        <f>D23*Y23</f>
        <v>24.026712</v>
      </c>
      <c r="G23" s="1">
        <f>F23*Y23</f>
        <v>0</v>
      </c>
      <c r="I23" s="1">
        <f>H23*Y23</f>
        <v>0</v>
      </c>
      <c r="K23" s="1">
        <f>J23*Y23</f>
        <v>0</v>
      </c>
      <c r="L23" s="1">
        <v>10000</v>
      </c>
      <c r="M23" s="1">
        <f>L23*Y23</f>
        <v>58.888999999999996</v>
      </c>
      <c r="N23" s="1" t="s">
        <v>26</v>
      </c>
      <c r="V23" s="1">
        <v>4</v>
      </c>
      <c r="W23" s="1" t="s">
        <v>60</v>
      </c>
      <c r="X23" s="1">
        <f>B23+D23+F23+H23+J23+L23</f>
        <v>14080</v>
      </c>
      <c r="Y23" s="1">
        <v>0.0058889</v>
      </c>
      <c r="Z23" s="2">
        <f>X23*Y23</f>
        <v>82.915712</v>
      </c>
      <c r="AB23" s="1">
        <v>2</v>
      </c>
    </row>
    <row r="24" spans="1:28" ht="12.75">
      <c r="A24" s="5">
        <v>42435</v>
      </c>
      <c r="C24" s="1">
        <f>B24*Y24</f>
        <v>0</v>
      </c>
      <c r="D24" s="1">
        <v>2290</v>
      </c>
      <c r="E24" s="1">
        <f>D24*Y24</f>
        <v>13.485581</v>
      </c>
      <c r="G24" s="1">
        <f>F24*Y24</f>
        <v>0</v>
      </c>
      <c r="I24" s="1">
        <f>H24*Y24</f>
        <v>0</v>
      </c>
      <c r="K24" s="1">
        <f>J24*Y24</f>
        <v>0</v>
      </c>
      <c r="L24" s="1">
        <v>10000</v>
      </c>
      <c r="M24" s="1">
        <f>L24*Y24</f>
        <v>58.888999999999996</v>
      </c>
      <c r="N24" s="1" t="s">
        <v>26</v>
      </c>
      <c r="V24" s="1">
        <v>1</v>
      </c>
      <c r="W24" s="1" t="s">
        <v>61</v>
      </c>
      <c r="X24" s="1">
        <f>B24+D24+F24+H24+J24+L24</f>
        <v>12290</v>
      </c>
      <c r="Y24" s="1">
        <v>0.0058889</v>
      </c>
      <c r="Z24" s="2">
        <f>X24*Y24</f>
        <v>72.37458099999999</v>
      </c>
      <c r="AB24" s="1">
        <v>2</v>
      </c>
    </row>
    <row r="25" spans="1:28" ht="12.75">
      <c r="A25" s="5">
        <v>42436</v>
      </c>
      <c r="B25" s="1">
        <v>20000</v>
      </c>
      <c r="C25" s="1">
        <f>B25*Y25</f>
        <v>117.77799999999999</v>
      </c>
      <c r="D25" s="1">
        <v>1770</v>
      </c>
      <c r="E25" s="1">
        <f>D25*Y25</f>
        <v>10.423353</v>
      </c>
      <c r="G25" s="1">
        <f>F25*Y25</f>
        <v>0</v>
      </c>
      <c r="I25" s="1">
        <f>H25*Y25</f>
        <v>0</v>
      </c>
      <c r="K25" s="1">
        <f>J25*Y25</f>
        <v>0</v>
      </c>
      <c r="M25" s="1">
        <f>L25*Y25</f>
        <v>0</v>
      </c>
      <c r="O25" s="1" t="s">
        <v>26</v>
      </c>
      <c r="W25" s="1" t="s">
        <v>62</v>
      </c>
      <c r="X25" s="1">
        <f>B25+D25+F25+H25+J25+L25</f>
        <v>21770</v>
      </c>
      <c r="Y25" s="1">
        <v>0.0058889</v>
      </c>
      <c r="Z25" s="2">
        <f>X25*Y25</f>
        <v>128.20135299999998</v>
      </c>
      <c r="AB25" s="1">
        <v>2</v>
      </c>
    </row>
    <row r="26" spans="1:28" ht="12.75">
      <c r="A26" s="5">
        <v>42437</v>
      </c>
      <c r="C26" s="1">
        <f>B26*Y26</f>
        <v>0</v>
      </c>
      <c r="D26" s="1">
        <v>1860</v>
      </c>
      <c r="E26" s="1">
        <f>D26*Y26</f>
        <v>10.953354</v>
      </c>
      <c r="F26" s="1">
        <v>3100</v>
      </c>
      <c r="G26" s="1">
        <f>F26*Y26</f>
        <v>18.255589999999998</v>
      </c>
      <c r="I26" s="1">
        <f>H26*Y26</f>
        <v>0</v>
      </c>
      <c r="K26" s="1">
        <f>J26*Y26</f>
        <v>0</v>
      </c>
      <c r="L26" s="1">
        <v>25000</v>
      </c>
      <c r="M26" s="1">
        <f>L26*Y26</f>
        <v>147.2225</v>
      </c>
      <c r="P26" s="1" t="s">
        <v>26</v>
      </c>
      <c r="W26" s="1" t="s">
        <v>63</v>
      </c>
      <c r="X26" s="1">
        <f>B26+D26+F26+H26+J26+L26</f>
        <v>29960</v>
      </c>
      <c r="Y26" s="1">
        <v>0.0058889</v>
      </c>
      <c r="Z26" s="2">
        <f>X26*Y26</f>
        <v>176.431444</v>
      </c>
      <c r="AB26" s="1">
        <v>2</v>
      </c>
    </row>
    <row r="27" spans="1:28" ht="12.75">
      <c r="A27" s="5">
        <v>42438</v>
      </c>
      <c r="B27" s="1">
        <f>1400+1200</f>
        <v>2600</v>
      </c>
      <c r="C27" s="1">
        <f>B27*Y27</f>
        <v>15.31114</v>
      </c>
      <c r="D27" s="1">
        <v>850</v>
      </c>
      <c r="E27" s="1">
        <f>D27*Y27</f>
        <v>5.005565</v>
      </c>
      <c r="G27" s="1">
        <f>F27*Y27</f>
        <v>0</v>
      </c>
      <c r="I27" s="1">
        <f>H27*Y27</f>
        <v>0</v>
      </c>
      <c r="K27" s="1">
        <f>J27*Y27</f>
        <v>0</v>
      </c>
      <c r="M27" s="1">
        <f>L27*Y27</f>
        <v>0</v>
      </c>
      <c r="O27" s="1" t="s">
        <v>26</v>
      </c>
      <c r="V27" s="1">
        <v>5</v>
      </c>
      <c r="W27" s="1" t="s">
        <v>64</v>
      </c>
      <c r="X27" s="1">
        <f>B27+D27+F27+H27+J27+L27</f>
        <v>3450</v>
      </c>
      <c r="Y27" s="1">
        <v>0.0058889</v>
      </c>
      <c r="Z27" s="2">
        <f>X27*Y27</f>
        <v>20.316705</v>
      </c>
      <c r="AB27" s="1">
        <v>2</v>
      </c>
    </row>
    <row r="28" spans="1:28" ht="12.75">
      <c r="A28" s="5">
        <v>42439</v>
      </c>
      <c r="B28" s="1">
        <v>1200</v>
      </c>
      <c r="C28" s="1">
        <f>B28*Y28</f>
        <v>7.06668</v>
      </c>
      <c r="D28" s="1">
        <f>2510+2600</f>
        <v>5110</v>
      </c>
      <c r="E28" s="1">
        <f>D28*Y28</f>
        <v>30.092278999999998</v>
      </c>
      <c r="G28" s="1">
        <f>F28*Y28</f>
        <v>0</v>
      </c>
      <c r="I28" s="1">
        <f>H28*Y28</f>
        <v>0</v>
      </c>
      <c r="K28" s="1">
        <f>J28*Y28</f>
        <v>0</v>
      </c>
      <c r="L28" s="1">
        <v>20000</v>
      </c>
      <c r="M28" s="1">
        <f>L28*Y28</f>
        <v>117.77799999999999</v>
      </c>
      <c r="P28" s="1" t="s">
        <v>26</v>
      </c>
      <c r="W28" s="1" t="s">
        <v>65</v>
      </c>
      <c r="X28" s="1">
        <f>B28+D28+F28+H28+J28+L28</f>
        <v>26310</v>
      </c>
      <c r="Y28" s="1">
        <v>0.0058889</v>
      </c>
      <c r="Z28" s="2">
        <f>X28*Y28</f>
        <v>154.936959</v>
      </c>
      <c r="AB28" s="1">
        <v>2</v>
      </c>
    </row>
    <row r="29" spans="1:28" ht="12.75">
      <c r="A29" s="5">
        <v>42440</v>
      </c>
      <c r="C29" s="1">
        <f>B29*Y29</f>
        <v>0</v>
      </c>
      <c r="D29" s="1">
        <f>2400+10000</f>
        <v>12400</v>
      </c>
      <c r="E29" s="1">
        <f>D29*Y29</f>
        <v>73.02235999999999</v>
      </c>
      <c r="G29" s="1">
        <f>F29*Y29</f>
        <v>0</v>
      </c>
      <c r="I29" s="1">
        <f>H29*Y29</f>
        <v>0</v>
      </c>
      <c r="K29" s="1">
        <f>J29*Y29</f>
        <v>0</v>
      </c>
      <c r="M29" s="1">
        <f>L29*Y29</f>
        <v>0</v>
      </c>
      <c r="R29" s="1" t="s">
        <v>26</v>
      </c>
      <c r="V29" s="1">
        <v>3</v>
      </c>
      <c r="W29" s="1" t="s">
        <v>66</v>
      </c>
      <c r="X29" s="1">
        <f>B29+D29+F29+H29+J29+L29</f>
        <v>12400</v>
      </c>
      <c r="Y29" s="1">
        <v>0.0058889</v>
      </c>
      <c r="Z29" s="2">
        <f>X29*Y29</f>
        <v>73.02235999999999</v>
      </c>
      <c r="AB29" s="1">
        <v>2</v>
      </c>
    </row>
    <row r="30" spans="1:28" ht="12.75">
      <c r="A30" s="5">
        <v>42441</v>
      </c>
      <c r="C30" s="1">
        <f>B30*Y30</f>
        <v>0</v>
      </c>
      <c r="D30" s="1">
        <f>4000+6000+2000+500</f>
        <v>12500</v>
      </c>
      <c r="E30" s="1">
        <f>D30*Y30</f>
        <v>73.61125</v>
      </c>
      <c r="G30" s="1">
        <f>F30*Y30</f>
        <v>0</v>
      </c>
      <c r="H30" s="1">
        <v>2000</v>
      </c>
      <c r="I30" s="1">
        <f>H30*Y30</f>
        <v>11.7778</v>
      </c>
      <c r="K30" s="1">
        <f>J30*Y30</f>
        <v>0</v>
      </c>
      <c r="M30" s="1">
        <f>L30*Y30</f>
        <v>0</v>
      </c>
      <c r="R30" s="1" t="s">
        <v>26</v>
      </c>
      <c r="V30" s="1">
        <v>4</v>
      </c>
      <c r="W30" s="1" t="s">
        <v>67</v>
      </c>
      <c r="X30" s="1">
        <f>B30+D30+F30+H30+J30+L30</f>
        <v>14500</v>
      </c>
      <c r="Y30" s="1">
        <v>0.0058889</v>
      </c>
      <c r="Z30" s="2">
        <f>X30*Y30</f>
        <v>85.38905</v>
      </c>
      <c r="AB30" s="1">
        <v>2</v>
      </c>
    </row>
    <row r="31" spans="1:28" ht="12.75">
      <c r="A31" s="5">
        <v>42442</v>
      </c>
      <c r="C31" s="1">
        <f>B31*Y31</f>
        <v>0</v>
      </c>
      <c r="D31" s="1">
        <v>3630</v>
      </c>
      <c r="E31" s="1">
        <f>D31*Y31</f>
        <v>21.376707</v>
      </c>
      <c r="G31" s="1">
        <f>F31*Y31</f>
        <v>0</v>
      </c>
      <c r="I31" s="1">
        <f>H31*Y31</f>
        <v>0</v>
      </c>
      <c r="J31" s="1">
        <v>5000</v>
      </c>
      <c r="K31" s="1">
        <f>J31*Y31</f>
        <v>29.444499999999998</v>
      </c>
      <c r="M31" s="1">
        <f>L31*Y31</f>
        <v>0</v>
      </c>
      <c r="R31" s="1" t="s">
        <v>26</v>
      </c>
      <c r="W31" s="1" t="s">
        <v>68</v>
      </c>
      <c r="X31" s="1">
        <f>B31+D31+F31+H31+J31+L31</f>
        <v>8630</v>
      </c>
      <c r="Y31" s="1">
        <v>0.0058889</v>
      </c>
      <c r="Z31" s="2">
        <f>X31*Y31</f>
        <v>50.821207</v>
      </c>
      <c r="AB31" s="1">
        <v>2</v>
      </c>
    </row>
    <row r="32" spans="1:28" ht="12.75">
      <c r="A32" s="5">
        <v>42443</v>
      </c>
      <c r="C32" s="1">
        <f>B32*Y32</f>
        <v>0</v>
      </c>
      <c r="D32" s="1">
        <f>935+4970+670</f>
        <v>6575</v>
      </c>
      <c r="E32" s="1">
        <f>D32*Y32</f>
        <v>38.7195175</v>
      </c>
      <c r="G32" s="1">
        <f>F32*Y32</f>
        <v>0</v>
      </c>
      <c r="I32" s="1">
        <f>H32*Y32</f>
        <v>0</v>
      </c>
      <c r="K32" s="1">
        <f>J32*Y32</f>
        <v>0</v>
      </c>
      <c r="M32" s="1">
        <f>L32*Y32</f>
        <v>0</v>
      </c>
      <c r="R32" s="1" t="s">
        <v>26</v>
      </c>
      <c r="W32" s="1" t="s">
        <v>68</v>
      </c>
      <c r="X32" s="1">
        <f>B32+D32+F32+H32+J32+L32</f>
        <v>6575</v>
      </c>
      <c r="Y32" s="1">
        <v>0.0058889</v>
      </c>
      <c r="Z32" s="2">
        <f>X32*Y32</f>
        <v>38.7195175</v>
      </c>
      <c r="AB32" s="1">
        <v>2</v>
      </c>
    </row>
    <row r="33" spans="1:28" ht="12.75">
      <c r="A33" s="5">
        <v>42444</v>
      </c>
      <c r="B33" s="1">
        <v>820</v>
      </c>
      <c r="C33" s="1">
        <f>B33*Y33</f>
        <v>4.828898</v>
      </c>
      <c r="D33" s="1">
        <v>650</v>
      </c>
      <c r="E33" s="1">
        <f>D33*Y33</f>
        <v>3.827785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R33" s="1" t="s">
        <v>26</v>
      </c>
      <c r="V33" s="1">
        <v>3</v>
      </c>
      <c r="W33" s="1" t="s">
        <v>69</v>
      </c>
      <c r="X33" s="1">
        <f>B33+D33+F33+H33+J33+L33</f>
        <v>1470</v>
      </c>
      <c r="Y33" s="1">
        <v>0.0058889</v>
      </c>
      <c r="Z33" s="2">
        <f>X33*Y33</f>
        <v>8.656683</v>
      </c>
      <c r="AB33" s="1">
        <v>2</v>
      </c>
    </row>
    <row r="34" spans="1:28" ht="12.75">
      <c r="A34" s="5">
        <v>42445</v>
      </c>
      <c r="B34" s="1">
        <f>500+1200</f>
        <v>1700</v>
      </c>
      <c r="C34" s="1">
        <f>B34*Y34</f>
        <v>10.01113</v>
      </c>
      <c r="E34" s="1">
        <f>D34*Y34</f>
        <v>0</v>
      </c>
      <c r="F34" s="1">
        <v>6400</v>
      </c>
      <c r="G34" s="1">
        <f>F34*Y34</f>
        <v>37.68896</v>
      </c>
      <c r="I34" s="1">
        <f>H34*Y34</f>
        <v>0</v>
      </c>
      <c r="K34" s="1">
        <f>J34*Y34</f>
        <v>0</v>
      </c>
      <c r="M34" s="1">
        <f>L34*Y34</f>
        <v>0</v>
      </c>
      <c r="R34" s="1" t="s">
        <v>26</v>
      </c>
      <c r="W34" s="1" t="s">
        <v>70</v>
      </c>
      <c r="X34" s="1">
        <f>B34+D34+F34+H34+J34+L34</f>
        <v>8100</v>
      </c>
      <c r="Y34" s="1">
        <v>0.0058889</v>
      </c>
      <c r="Z34" s="2">
        <f>X34*Y34</f>
        <v>47.700089999999996</v>
      </c>
      <c r="AB34" s="1">
        <v>2</v>
      </c>
    </row>
    <row r="35" spans="1:28" ht="12.75">
      <c r="A35" s="5">
        <v>42446</v>
      </c>
      <c r="B35" s="1">
        <f>900+900</f>
        <v>1800</v>
      </c>
      <c r="C35" s="1">
        <f>B35*Y35</f>
        <v>10.600019999999999</v>
      </c>
      <c r="D35" s="1">
        <v>4300</v>
      </c>
      <c r="E35" s="1">
        <f>D35*Y35</f>
        <v>25.32227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R35" s="1" t="s">
        <v>26</v>
      </c>
      <c r="W35" s="1" t="s">
        <v>70</v>
      </c>
      <c r="X35" s="1">
        <f>B35+D35+F35+H35+J35+L35</f>
        <v>6100</v>
      </c>
      <c r="Y35" s="1">
        <v>0.0058889</v>
      </c>
      <c r="Z35" s="2">
        <f>X35*Y35</f>
        <v>35.92229</v>
      </c>
      <c r="AB35" s="1">
        <v>2</v>
      </c>
    </row>
    <row r="36" spans="1:28" ht="12.75">
      <c r="A36" s="5">
        <v>42447</v>
      </c>
      <c r="C36" s="1">
        <f>B36*Y36</f>
        <v>0</v>
      </c>
      <c r="D36" s="1">
        <v>5000</v>
      </c>
      <c r="E36" s="1">
        <f>D36*Y36</f>
        <v>29.444499999999998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R36" s="1" t="s">
        <v>26</v>
      </c>
      <c r="W36" s="1" t="s">
        <v>70</v>
      </c>
      <c r="X36" s="1">
        <f>B36+D36+F36+H36+J36+L36</f>
        <v>5000</v>
      </c>
      <c r="Y36" s="1">
        <v>0.0058889</v>
      </c>
      <c r="Z36" s="2">
        <f>X36*Y36</f>
        <v>29.444499999999998</v>
      </c>
      <c r="AB36" s="1">
        <v>2</v>
      </c>
    </row>
    <row r="37" spans="1:28" ht="12.75">
      <c r="A37" s="5">
        <v>42448</v>
      </c>
      <c r="C37" s="1">
        <f>B37*Y37</f>
        <v>0</v>
      </c>
      <c r="D37" s="1">
        <v>4600</v>
      </c>
      <c r="E37" s="1">
        <f>D37*Y37</f>
        <v>27.08894</v>
      </c>
      <c r="F37" s="1">
        <v>2000</v>
      </c>
      <c r="G37" s="1">
        <f>F37*Y37</f>
        <v>11.7778</v>
      </c>
      <c r="I37" s="1">
        <f>H37*Y37</f>
        <v>0</v>
      </c>
      <c r="K37" s="1">
        <f>J37*Y37</f>
        <v>0</v>
      </c>
      <c r="M37" s="1">
        <f>L37*Y37</f>
        <v>0</v>
      </c>
      <c r="R37" s="1" t="s">
        <v>26</v>
      </c>
      <c r="W37" s="1" t="s">
        <v>70</v>
      </c>
      <c r="X37" s="1">
        <f>B37+D37+F37+H37+J37+L37</f>
        <v>6600</v>
      </c>
      <c r="Y37" s="1">
        <v>0.0058889</v>
      </c>
      <c r="Z37" s="2">
        <f>X37*Y37</f>
        <v>38.86674</v>
      </c>
      <c r="AB37" s="1">
        <v>2</v>
      </c>
    </row>
    <row r="38" spans="1:28" ht="12.75">
      <c r="A38" s="5">
        <v>42449</v>
      </c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R38" s="1" t="s">
        <v>26</v>
      </c>
      <c r="W38" s="1" t="s">
        <v>70</v>
      </c>
      <c r="X38" s="1">
        <f>B38+D38+F38+H38+J38+L38</f>
        <v>0</v>
      </c>
      <c r="Y38" s="1">
        <v>0.0058889</v>
      </c>
      <c r="Z38" s="2">
        <f>X38*Y38</f>
        <v>0</v>
      </c>
      <c r="AB38" s="1">
        <v>2</v>
      </c>
    </row>
    <row r="39" spans="1:28" ht="12.75">
      <c r="A39" s="5">
        <v>42450</v>
      </c>
      <c r="B39" s="1">
        <v>1000</v>
      </c>
      <c r="C39" s="1">
        <f>B39*Y39</f>
        <v>5.8889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R39" s="1" t="s">
        <v>26</v>
      </c>
      <c r="V39" s="1">
        <v>4</v>
      </c>
      <c r="W39" s="1" t="s">
        <v>71</v>
      </c>
      <c r="X39" s="1">
        <f>B39+D39+F39+H39+J39+L39</f>
        <v>1000</v>
      </c>
      <c r="Y39" s="1">
        <v>0.0058889</v>
      </c>
      <c r="Z39" s="2">
        <f>X39*Y39</f>
        <v>5.8889</v>
      </c>
      <c r="AB39" s="1">
        <v>2</v>
      </c>
    </row>
    <row r="40" spans="1:28" ht="12.75">
      <c r="A40" s="5">
        <v>42451</v>
      </c>
      <c r="C40" s="1">
        <f>B40*Y40</f>
        <v>0</v>
      </c>
      <c r="D40" s="1">
        <f>4800+2000+500+3432</f>
        <v>10732</v>
      </c>
      <c r="E40" s="1">
        <f>D40*Y40</f>
        <v>63.1996748</v>
      </c>
      <c r="F40" s="1">
        <v>5000</v>
      </c>
      <c r="G40" s="1">
        <f>F40*Y40</f>
        <v>29.444499999999998</v>
      </c>
      <c r="I40" s="1">
        <f>H40*Y40</f>
        <v>0</v>
      </c>
      <c r="K40" s="1">
        <f>J40*Y40</f>
        <v>0</v>
      </c>
      <c r="M40" s="1">
        <f>L40*Y40</f>
        <v>0</v>
      </c>
      <c r="R40" s="1" t="s">
        <v>26</v>
      </c>
      <c r="W40" s="1" t="s">
        <v>72</v>
      </c>
      <c r="X40" s="1">
        <f>B40+D40+F40+H40+J40+L40</f>
        <v>15732</v>
      </c>
      <c r="Y40" s="1">
        <v>0.0058889</v>
      </c>
      <c r="Z40" s="2">
        <f>X40*Y40</f>
        <v>92.6441748</v>
      </c>
      <c r="AB40" s="1">
        <v>2</v>
      </c>
    </row>
    <row r="41" spans="1:28" ht="12.75">
      <c r="A41" s="5">
        <v>42452</v>
      </c>
      <c r="C41" s="1">
        <f>B41*Y41</f>
        <v>0</v>
      </c>
      <c r="D41" s="1">
        <f>3515+1054+2380+470</f>
        <v>7419</v>
      </c>
      <c r="E41" s="1">
        <f>D41*Y41</f>
        <v>43.6897491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R41" s="1" t="s">
        <v>26</v>
      </c>
      <c r="W41" s="1" t="s">
        <v>72</v>
      </c>
      <c r="X41" s="1">
        <f>B41+D41+F41+H41+J41+L41</f>
        <v>7419</v>
      </c>
      <c r="Y41" s="1">
        <v>0.0058889</v>
      </c>
      <c r="Z41" s="2">
        <f>X41*Y41</f>
        <v>43.6897491</v>
      </c>
      <c r="AB41" s="1">
        <v>2</v>
      </c>
    </row>
    <row r="42" spans="1:28" ht="12.75">
      <c r="A42" s="5">
        <v>42453</v>
      </c>
      <c r="C42" s="1">
        <f>B42*Y42</f>
        <v>0</v>
      </c>
      <c r="D42" s="1">
        <f>6530+550</f>
        <v>7080</v>
      </c>
      <c r="E42" s="1">
        <f>D42*Y42</f>
        <v>41.693412</v>
      </c>
      <c r="F42" s="1">
        <v>1200</v>
      </c>
      <c r="G42" s="1">
        <f>F42*Y42</f>
        <v>7.06668</v>
      </c>
      <c r="I42" s="1">
        <f>H42*Y42</f>
        <v>0</v>
      </c>
      <c r="K42" s="1">
        <f>J42*Y42</f>
        <v>0</v>
      </c>
      <c r="M42" s="1">
        <f>L42*Y42</f>
        <v>0</v>
      </c>
      <c r="R42" s="1" t="s">
        <v>26</v>
      </c>
      <c r="W42" s="1" t="s">
        <v>72</v>
      </c>
      <c r="X42" s="1">
        <f>B42+D42+F42+H42+J42+L42</f>
        <v>8280</v>
      </c>
      <c r="Y42" s="1">
        <v>0.0058889</v>
      </c>
      <c r="Z42" s="2">
        <f>X42*Y42</f>
        <v>48.760092</v>
      </c>
      <c r="AB42" s="1">
        <v>2</v>
      </c>
    </row>
    <row r="43" spans="1:28" ht="12.75">
      <c r="A43" s="5">
        <v>42454</v>
      </c>
      <c r="B43" s="1">
        <f>6000+940+940+600+200+1340</f>
        <v>10020</v>
      </c>
      <c r="C43" s="1">
        <f>B43*Y43</f>
        <v>59.006778</v>
      </c>
      <c r="D43" s="1">
        <f>400+2725</f>
        <v>3125</v>
      </c>
      <c r="E43" s="1">
        <f>D43*Y43</f>
        <v>18.4028125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R43" s="1" t="s">
        <v>26</v>
      </c>
      <c r="V43" s="1">
        <v>4</v>
      </c>
      <c r="W43" s="1" t="s">
        <v>73</v>
      </c>
      <c r="X43" s="1">
        <f>B43+D43+F43+H43+J43+L43</f>
        <v>13145</v>
      </c>
      <c r="Y43" s="1">
        <v>0.0058889</v>
      </c>
      <c r="Z43" s="2">
        <f>X43*Y43</f>
        <v>77.4095905</v>
      </c>
      <c r="AB43" s="1">
        <v>2</v>
      </c>
    </row>
    <row r="44" spans="1:28" ht="12.75">
      <c r="A44" s="5">
        <v>42455</v>
      </c>
      <c r="C44" s="1">
        <f>B44*Y44</f>
        <v>0</v>
      </c>
      <c r="E44" s="1">
        <f>D44*Y44</f>
        <v>0</v>
      </c>
      <c r="G44" s="1">
        <f>F44*Y44</f>
        <v>0</v>
      </c>
      <c r="H44" s="1">
        <f>26880*2</f>
        <v>53760</v>
      </c>
      <c r="I44" s="1">
        <f>H44*Y44</f>
        <v>316.587264</v>
      </c>
      <c r="K44" s="1">
        <f>J44*Y44</f>
        <v>0</v>
      </c>
      <c r="M44" s="1">
        <f>L44*Y44</f>
        <v>0</v>
      </c>
      <c r="R44" s="1" t="s">
        <v>26</v>
      </c>
      <c r="W44" s="1" t="s">
        <v>74</v>
      </c>
      <c r="X44" s="1">
        <f>B44+D44+F44+H44+J44+L44</f>
        <v>53760</v>
      </c>
      <c r="Y44" s="1">
        <v>0.0058889</v>
      </c>
      <c r="Z44" s="2">
        <f>X44*Y44</f>
        <v>316.587264</v>
      </c>
      <c r="AB44" s="1">
        <v>2</v>
      </c>
    </row>
    <row r="45" spans="1:28" ht="12.75">
      <c r="A45" s="5">
        <v>42456</v>
      </c>
      <c r="C45" s="1">
        <f>B45*Y45</f>
        <v>0</v>
      </c>
      <c r="D45" s="1">
        <f>5295+1370</f>
        <v>6665</v>
      </c>
      <c r="E45" s="1">
        <f>D45*Y45</f>
        <v>39.2495185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R45" s="1" t="s">
        <v>26</v>
      </c>
      <c r="W45" s="1" t="s">
        <v>72</v>
      </c>
      <c r="X45" s="1">
        <f>B45+D45+F45+H45+J45+L45</f>
        <v>6665</v>
      </c>
      <c r="Y45" s="1">
        <v>0.0058889</v>
      </c>
      <c r="Z45" s="2">
        <f>X45*Y45</f>
        <v>39.2495185</v>
      </c>
      <c r="AB45" s="1">
        <v>2</v>
      </c>
    </row>
    <row r="46" spans="1:28" ht="12.75">
      <c r="A46" s="5">
        <v>42457</v>
      </c>
      <c r="C46" s="1">
        <f>B46*Y46</f>
        <v>0</v>
      </c>
      <c r="D46" s="1">
        <v>450</v>
      </c>
      <c r="E46" s="1">
        <f>D46*Y46</f>
        <v>2.6500049999999997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R46" s="1" t="s">
        <v>26</v>
      </c>
      <c r="W46" s="1" t="s">
        <v>72</v>
      </c>
      <c r="X46" s="1">
        <f>B46+D46+F46+H46+J46+L46</f>
        <v>450</v>
      </c>
      <c r="Y46" s="1">
        <v>0.0058889</v>
      </c>
      <c r="Z46" s="2">
        <f>X46*Y46</f>
        <v>2.6500049999999997</v>
      </c>
      <c r="AB46" s="1">
        <v>2</v>
      </c>
    </row>
    <row r="47" spans="1:28" ht="12.75">
      <c r="A47" s="5">
        <v>42458</v>
      </c>
      <c r="C47" s="1">
        <f>B47*Y47</f>
        <v>0</v>
      </c>
      <c r="D47" s="1">
        <f>2910+2450+1000</f>
        <v>6360</v>
      </c>
      <c r="E47" s="1">
        <f>D47*Y47</f>
        <v>37.453404</v>
      </c>
      <c r="G47" s="1">
        <f>F47*Y47</f>
        <v>0</v>
      </c>
      <c r="I47" s="1">
        <f>H47*Y47</f>
        <v>0</v>
      </c>
      <c r="J47" s="1">
        <v>5000</v>
      </c>
      <c r="K47" s="1">
        <f>J47*Y47</f>
        <v>29.444499999999998</v>
      </c>
      <c r="M47" s="1">
        <f>L47*Y47</f>
        <v>0</v>
      </c>
      <c r="R47" s="1" t="s">
        <v>26</v>
      </c>
      <c r="W47" s="1" t="s">
        <v>72</v>
      </c>
      <c r="X47" s="1">
        <f>B47+D47+F47+H47+J47+L47</f>
        <v>11360</v>
      </c>
      <c r="Y47" s="1">
        <v>0.0058889</v>
      </c>
      <c r="Z47" s="2">
        <f>X47*Y47</f>
        <v>66.897904</v>
      </c>
      <c r="AB47" s="1">
        <v>2</v>
      </c>
    </row>
    <row r="48" spans="1:28" ht="12.75">
      <c r="A48" s="5">
        <v>42459</v>
      </c>
      <c r="C48" s="1">
        <f>B48*Y48</f>
        <v>0</v>
      </c>
      <c r="D48" s="1">
        <v>7430</v>
      </c>
      <c r="E48" s="1">
        <f>D48*Y48</f>
        <v>43.754526999999996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R48" s="1" t="s">
        <v>26</v>
      </c>
      <c r="W48" s="1" t="s">
        <v>72</v>
      </c>
      <c r="X48" s="1">
        <f>B48+D48+F48+H48+J48+L48</f>
        <v>7430</v>
      </c>
      <c r="Y48" s="1">
        <v>0.0058889</v>
      </c>
      <c r="Z48" s="2">
        <f>X48*Y48</f>
        <v>43.754526999999996</v>
      </c>
      <c r="AB48" s="1">
        <v>2</v>
      </c>
    </row>
    <row r="49" spans="1:28" ht="12.75">
      <c r="A49" s="5">
        <v>42460</v>
      </c>
      <c r="C49" s="1">
        <f>B49*Y49</f>
        <v>0</v>
      </c>
      <c r="D49" s="1">
        <v>3690</v>
      </c>
      <c r="E49" s="1">
        <f>D49*Y49</f>
        <v>21.730041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R49" s="1" t="s">
        <v>26</v>
      </c>
      <c r="W49" s="1" t="s">
        <v>72</v>
      </c>
      <c r="X49" s="1">
        <f>B49+D49+F49+H49+J49+L49</f>
        <v>3690</v>
      </c>
      <c r="Y49" s="1">
        <v>0.0058889</v>
      </c>
      <c r="Z49" s="2">
        <f>X49*Y49</f>
        <v>21.730041</v>
      </c>
      <c r="AB49" s="1">
        <v>2</v>
      </c>
    </row>
    <row r="50" spans="1:28" ht="12.75">
      <c r="A50" s="5">
        <v>42401</v>
      </c>
      <c r="C50" s="1">
        <f>B50*Y50</f>
        <v>0</v>
      </c>
      <c r="D50" s="1">
        <f>4600+1050</f>
        <v>5650</v>
      </c>
      <c r="E50" s="1">
        <f>D50*Y50</f>
        <v>34.465</v>
      </c>
      <c r="G50" s="1">
        <f>F50*Y50</f>
        <v>0</v>
      </c>
      <c r="I50" s="1">
        <f>H50*Y50</f>
        <v>0</v>
      </c>
      <c r="K50" s="1">
        <f>J50*Y50</f>
        <v>0</v>
      </c>
      <c r="L50" s="1">
        <v>10000</v>
      </c>
      <c r="M50" s="1">
        <f>L50*Y50</f>
        <v>61.00000000000001</v>
      </c>
      <c r="N50" s="1" t="s">
        <v>26</v>
      </c>
      <c r="W50" s="1" t="s">
        <v>75</v>
      </c>
      <c r="X50" s="1">
        <f>B50+D50+F50+H50+J50+L50</f>
        <v>15650</v>
      </c>
      <c r="Y50" s="1">
        <v>0.0061</v>
      </c>
      <c r="Z50" s="2">
        <f>X50*Y50</f>
        <v>95.465</v>
      </c>
      <c r="AB50" s="1">
        <v>2</v>
      </c>
    </row>
    <row r="51" spans="1:28" ht="12.75">
      <c r="A51" s="5">
        <v>42402</v>
      </c>
      <c r="C51" s="1">
        <f>B51*Y51</f>
        <v>0</v>
      </c>
      <c r="D51" s="1">
        <f>550+1900+3000</f>
        <v>5450</v>
      </c>
      <c r="E51" s="1">
        <f>D51*Y51</f>
        <v>33.245000000000005</v>
      </c>
      <c r="G51" s="1">
        <f>F51*Y51</f>
        <v>0</v>
      </c>
      <c r="I51" s="1">
        <f>H51*Y51</f>
        <v>0</v>
      </c>
      <c r="K51" s="1">
        <f>J51*Y51</f>
        <v>0</v>
      </c>
      <c r="L51" s="1">
        <v>10000</v>
      </c>
      <c r="M51" s="1">
        <f>L51*Y51</f>
        <v>61.00000000000001</v>
      </c>
      <c r="N51" s="1" t="s">
        <v>26</v>
      </c>
      <c r="W51" s="1" t="s">
        <v>75</v>
      </c>
      <c r="X51" s="1">
        <f>B51+D51+F51+H51+J51+L51</f>
        <v>15450</v>
      </c>
      <c r="Y51" s="1">
        <v>0.0061</v>
      </c>
      <c r="Z51" s="2">
        <f>X51*Y51</f>
        <v>94.245</v>
      </c>
      <c r="AB51" s="1">
        <v>2</v>
      </c>
    </row>
    <row r="52" spans="1:28" ht="12.75">
      <c r="A52" s="5">
        <v>42403</v>
      </c>
      <c r="B52" s="1">
        <v>8000</v>
      </c>
      <c r="C52" s="1">
        <f>B52*Y52</f>
        <v>48.800000000000004</v>
      </c>
      <c r="D52" s="1">
        <f>1050+2400</f>
        <v>3450</v>
      </c>
      <c r="E52" s="1">
        <f>D52*Y52</f>
        <v>21.045</v>
      </c>
      <c r="G52" s="1">
        <f>F52*Y52</f>
        <v>0</v>
      </c>
      <c r="I52" s="1">
        <f>H52*Y52</f>
        <v>0</v>
      </c>
      <c r="K52" s="1">
        <f>J52*Y52</f>
        <v>0</v>
      </c>
      <c r="L52" s="1">
        <v>10000</v>
      </c>
      <c r="M52" s="1">
        <f>L52*Y52</f>
        <v>61.00000000000001</v>
      </c>
      <c r="N52" s="1" t="s">
        <v>26</v>
      </c>
      <c r="W52" s="1" t="s">
        <v>76</v>
      </c>
      <c r="X52" s="1">
        <f>B52+D52+F52+H52+J52+L52</f>
        <v>21450</v>
      </c>
      <c r="Y52" s="1">
        <v>0.0061</v>
      </c>
      <c r="Z52" s="2">
        <f>X52*Y52</f>
        <v>130.845</v>
      </c>
      <c r="AB52" s="1">
        <v>2</v>
      </c>
    </row>
    <row r="53" spans="1:28" ht="12.75">
      <c r="A53" s="5">
        <v>42404</v>
      </c>
      <c r="C53" s="1">
        <f>B53*Y53</f>
        <v>0</v>
      </c>
      <c r="D53" s="1">
        <f>900+3000+2420+475</f>
        <v>6795</v>
      </c>
      <c r="E53" s="1">
        <f>D53*Y53</f>
        <v>41.4495</v>
      </c>
      <c r="G53" s="1">
        <f>F53*Y53</f>
        <v>0</v>
      </c>
      <c r="I53" s="1">
        <f>H53*Y53</f>
        <v>0</v>
      </c>
      <c r="K53" s="1">
        <f>J53*Y53</f>
        <v>0</v>
      </c>
      <c r="L53" s="1">
        <v>10000</v>
      </c>
      <c r="M53" s="1">
        <f>L53*Y53</f>
        <v>61.00000000000001</v>
      </c>
      <c r="N53" s="1" t="s">
        <v>26</v>
      </c>
      <c r="W53" s="1" t="s">
        <v>77</v>
      </c>
      <c r="X53" s="1">
        <f>B53+D53+F53+H53+J53+L53</f>
        <v>16795</v>
      </c>
      <c r="Y53" s="1">
        <v>0.0061</v>
      </c>
      <c r="Z53" s="2">
        <f>X53*Y53</f>
        <v>102.4495</v>
      </c>
      <c r="AB53" s="1">
        <v>2</v>
      </c>
    </row>
    <row r="54" spans="1:28" ht="12.75">
      <c r="A54" s="5">
        <v>42405</v>
      </c>
      <c r="B54" s="1">
        <v>660</v>
      </c>
      <c r="C54" s="1">
        <f>B54*Y54</f>
        <v>4.026000000000001</v>
      </c>
      <c r="D54" s="1">
        <v>666</v>
      </c>
      <c r="E54" s="1">
        <f>D54*Y54</f>
        <v>4.062600000000001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O54" s="1" t="s">
        <v>26</v>
      </c>
      <c r="V54" s="1">
        <v>3</v>
      </c>
      <c r="W54" s="1" t="s">
        <v>78</v>
      </c>
      <c r="X54" s="1">
        <f>B54+D54+F54+H54+J54+L54</f>
        <v>1326</v>
      </c>
      <c r="Y54" s="1">
        <v>0.0061</v>
      </c>
      <c r="Z54" s="2">
        <f>X54*Y54</f>
        <v>8.088600000000001</v>
      </c>
      <c r="AB54" s="1">
        <v>2</v>
      </c>
    </row>
    <row r="55" spans="1:28" ht="12.75">
      <c r="A55" s="5">
        <v>42390</v>
      </c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L55" s="1">
        <v>20000</v>
      </c>
      <c r="M55" s="1">
        <f>L55*Y55</f>
        <v>122.00000000000001</v>
      </c>
      <c r="P55" s="1" t="s">
        <v>26</v>
      </c>
      <c r="V55" s="1">
        <v>2</v>
      </c>
      <c r="W55" s="1" t="s">
        <v>79</v>
      </c>
      <c r="X55" s="1">
        <f>B55+D55+F55+H55+J55+L55</f>
        <v>20000</v>
      </c>
      <c r="Y55" s="1">
        <v>0.0061</v>
      </c>
      <c r="Z55" s="2">
        <f>X55*Y55</f>
        <v>122.00000000000001</v>
      </c>
      <c r="AB55" s="1">
        <v>2</v>
      </c>
    </row>
    <row r="56" spans="1:28" ht="12.75">
      <c r="A56" s="5">
        <v>42391</v>
      </c>
      <c r="C56" s="1">
        <f>B56*Y56</f>
        <v>0</v>
      </c>
      <c r="D56" s="1">
        <f>4466+900</f>
        <v>5366</v>
      </c>
      <c r="E56" s="1">
        <f>D56*Y56</f>
        <v>32.732600000000005</v>
      </c>
      <c r="G56" s="1">
        <f>F56*Y56</f>
        <v>0</v>
      </c>
      <c r="I56" s="1">
        <f>H56*Y56</f>
        <v>0</v>
      </c>
      <c r="K56" s="1">
        <f>J56*Y56</f>
        <v>0</v>
      </c>
      <c r="L56" s="1">
        <v>10000</v>
      </c>
      <c r="M56" s="1">
        <f>L56*Y56</f>
        <v>61.00000000000001</v>
      </c>
      <c r="N56" s="1" t="s">
        <v>26</v>
      </c>
      <c r="W56" s="1" t="s">
        <v>75</v>
      </c>
      <c r="X56" s="1">
        <f>B56+D56+F56+H56+J56+L56</f>
        <v>15366</v>
      </c>
      <c r="Y56" s="1">
        <v>0.0061</v>
      </c>
      <c r="Z56" s="2">
        <f>X56*Y56</f>
        <v>93.7326</v>
      </c>
      <c r="AB56" s="1">
        <v>2</v>
      </c>
    </row>
    <row r="57" spans="1:28" ht="12.75">
      <c r="A57" s="5">
        <v>42392</v>
      </c>
      <c r="C57" s="1">
        <f>B57*Y57</f>
        <v>0</v>
      </c>
      <c r="D57" s="1">
        <f>3900+2990+5135+3950+11436+1139</f>
        <v>28550</v>
      </c>
      <c r="E57" s="1">
        <f>D57*Y57</f>
        <v>174.155</v>
      </c>
      <c r="G57" s="1">
        <f>F57*Y57</f>
        <v>0</v>
      </c>
      <c r="I57" s="1">
        <f>H57*Y57</f>
        <v>0</v>
      </c>
      <c r="K57" s="1">
        <f>J57*Y57</f>
        <v>0</v>
      </c>
      <c r="L57" s="1">
        <v>10000</v>
      </c>
      <c r="M57" s="1">
        <f>L57*Y57</f>
        <v>61.00000000000001</v>
      </c>
      <c r="N57" s="1" t="s">
        <v>26</v>
      </c>
      <c r="W57" s="1" t="s">
        <v>75</v>
      </c>
      <c r="X57" s="1">
        <f>B57+D57+F57+H57+J57+L57</f>
        <v>38550</v>
      </c>
      <c r="Y57" s="1">
        <v>0.0061</v>
      </c>
      <c r="Z57" s="2">
        <f>X57*Y57</f>
        <v>235.155</v>
      </c>
      <c r="AB57" s="1">
        <v>2</v>
      </c>
    </row>
    <row r="58" spans="1:28" ht="12.75">
      <c r="A58" s="5">
        <v>42393</v>
      </c>
      <c r="C58" s="1">
        <f>B58*Y58</f>
        <v>0</v>
      </c>
      <c r="D58" s="1">
        <v>1950</v>
      </c>
      <c r="E58" s="1">
        <f>D58*Y58</f>
        <v>11.895000000000001</v>
      </c>
      <c r="G58" s="1">
        <f>F58*Y58</f>
        <v>0</v>
      </c>
      <c r="I58" s="1">
        <f>H58*Y58</f>
        <v>0</v>
      </c>
      <c r="K58" s="1">
        <f>J58*Y58</f>
        <v>0</v>
      </c>
      <c r="L58" s="1">
        <v>10000</v>
      </c>
      <c r="M58" s="1">
        <f>L58*Y58</f>
        <v>61.00000000000001</v>
      </c>
      <c r="N58" s="1" t="s">
        <v>26</v>
      </c>
      <c r="W58" s="1" t="s">
        <v>75</v>
      </c>
      <c r="X58" s="1">
        <f>B58+D58+F58+H58+J58+L58</f>
        <v>11950</v>
      </c>
      <c r="Y58" s="1">
        <v>0.0061</v>
      </c>
      <c r="Z58" s="2">
        <f>X58*Y58</f>
        <v>72.89500000000001</v>
      </c>
      <c r="AB58" s="1">
        <v>2</v>
      </c>
    </row>
    <row r="59" spans="1:28" ht="12.75">
      <c r="A59" s="5">
        <v>42394</v>
      </c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N59" s="8"/>
      <c r="O59" s="1" t="s">
        <v>26</v>
      </c>
      <c r="P59" s="8"/>
      <c r="V59" s="1">
        <v>1</v>
      </c>
      <c r="W59" s="1" t="s">
        <v>80</v>
      </c>
      <c r="X59" s="1">
        <f>B59+D59+F59+H59+J59+L59</f>
        <v>0</v>
      </c>
      <c r="Y59" s="1">
        <v>0.0061</v>
      </c>
      <c r="Z59" s="2">
        <f>X59*Y59</f>
        <v>0</v>
      </c>
      <c r="AB59" s="1">
        <v>2</v>
      </c>
    </row>
    <row r="60" spans="1:28" ht="12.75">
      <c r="A60" s="5">
        <v>42395</v>
      </c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N60" s="8"/>
      <c r="O60" s="1" t="s">
        <v>26</v>
      </c>
      <c r="P60" s="8"/>
      <c r="W60" s="1" t="s">
        <v>80</v>
      </c>
      <c r="X60" s="1">
        <f>B60+D60+F60+H60+J60+L60</f>
        <v>0</v>
      </c>
      <c r="Y60" s="1">
        <v>0.0061</v>
      </c>
      <c r="Z60" s="2">
        <f>X60*Y60</f>
        <v>0</v>
      </c>
      <c r="AB60" s="1">
        <v>2</v>
      </c>
    </row>
    <row r="61" spans="1:28" ht="12.75">
      <c r="A61" s="5">
        <v>42396</v>
      </c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N61" s="8"/>
      <c r="O61" s="1" t="s">
        <v>26</v>
      </c>
      <c r="P61" s="8"/>
      <c r="W61" s="1" t="s">
        <v>80</v>
      </c>
      <c r="X61" s="1">
        <f>B61+D61+F61+H61+J61+L61</f>
        <v>0</v>
      </c>
      <c r="Y61" s="1">
        <v>0.0061</v>
      </c>
      <c r="Z61" s="2">
        <f>X61*Y61</f>
        <v>0</v>
      </c>
      <c r="AB61" s="1">
        <v>2</v>
      </c>
    </row>
    <row r="62" spans="1:28" ht="12.75">
      <c r="A62" s="5">
        <v>42397</v>
      </c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N62" s="8"/>
      <c r="O62" s="1" t="s">
        <v>26</v>
      </c>
      <c r="P62" s="8"/>
      <c r="W62" s="1" t="s">
        <v>80</v>
      </c>
      <c r="X62" s="1">
        <f>B62+D62+F62+H62+J62+L62</f>
        <v>0</v>
      </c>
      <c r="Y62" s="1">
        <v>0.0061</v>
      </c>
      <c r="Z62" s="2">
        <f>X62*Y62</f>
        <v>0</v>
      </c>
      <c r="AB62" s="1">
        <v>2</v>
      </c>
    </row>
    <row r="63" spans="1:28" ht="12.75">
      <c r="A63" s="5">
        <v>42398</v>
      </c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N63" s="8"/>
      <c r="O63" s="1" t="s">
        <v>26</v>
      </c>
      <c r="P63" s="8"/>
      <c r="W63" s="1" t="s">
        <v>80</v>
      </c>
      <c r="X63" s="1">
        <f>B63+D63+F63+H63+J63+L63</f>
        <v>0</v>
      </c>
      <c r="Y63" s="1">
        <v>0.0061</v>
      </c>
      <c r="Z63" s="2">
        <f>X63*Y63</f>
        <v>0</v>
      </c>
      <c r="AB63" s="1">
        <v>2</v>
      </c>
    </row>
    <row r="64" spans="1:28" ht="12.75">
      <c r="A64" s="5">
        <v>42399</v>
      </c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L64" s="1">
        <v>6000</v>
      </c>
      <c r="M64" s="1">
        <f>L64*Y64</f>
        <v>36.6</v>
      </c>
      <c r="N64" s="1" t="s">
        <v>26</v>
      </c>
      <c r="W64" s="1" t="s">
        <v>80</v>
      </c>
      <c r="X64" s="1">
        <f>B64+D64+F64+H64+J64+L64</f>
        <v>6000</v>
      </c>
      <c r="Y64" s="1">
        <v>0.0061</v>
      </c>
      <c r="Z64" s="2">
        <f>X64*Y64</f>
        <v>36.6</v>
      </c>
      <c r="AB64" s="1">
        <v>2</v>
      </c>
    </row>
    <row r="65" spans="1:28" ht="12.75">
      <c r="A65" s="5">
        <v>42400</v>
      </c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N65" s="8"/>
      <c r="P65" s="1" t="s">
        <v>26</v>
      </c>
      <c r="W65" s="1" t="s">
        <v>80</v>
      </c>
      <c r="X65" s="1">
        <f>B65+D65+F65+H65+J65+L65</f>
        <v>0</v>
      </c>
      <c r="Y65" s="1">
        <v>0.0061</v>
      </c>
      <c r="Z65" s="2">
        <f>X65*Y65</f>
        <v>0</v>
      </c>
      <c r="AB65" s="1">
        <v>2</v>
      </c>
    </row>
    <row r="66" spans="1:28" ht="12.75">
      <c r="A66" s="5">
        <v>42370</v>
      </c>
      <c r="C66" s="1">
        <f>B66*Y66</f>
        <v>0</v>
      </c>
      <c r="D66" s="1">
        <v>750</v>
      </c>
      <c r="E66" s="1">
        <f>D66*Y66</f>
        <v>4.44375</v>
      </c>
      <c r="G66" s="1">
        <f>F66*Y66</f>
        <v>0</v>
      </c>
      <c r="I66" s="1">
        <f>H66*Y66</f>
        <v>0</v>
      </c>
      <c r="K66" s="1">
        <f>J66*Y66</f>
        <v>0</v>
      </c>
      <c r="L66" s="1">
        <v>8000</v>
      </c>
      <c r="M66" s="1">
        <f>L66*Y66</f>
        <v>47.4</v>
      </c>
      <c r="N66" s="1" t="s">
        <v>26</v>
      </c>
      <c r="V66" s="1">
        <v>5</v>
      </c>
      <c r="W66" s="1" t="s">
        <v>81</v>
      </c>
      <c r="X66" s="1">
        <f>B66+D66+F66+H66+J66+L66</f>
        <v>8750</v>
      </c>
      <c r="Y66" s="1">
        <v>0.005925</v>
      </c>
      <c r="Z66" s="2">
        <f>X66*Y66</f>
        <v>51.84375</v>
      </c>
      <c r="AB66" s="1">
        <v>2</v>
      </c>
    </row>
    <row r="67" spans="1:28" ht="12.75">
      <c r="A67" s="5">
        <v>42371</v>
      </c>
      <c r="C67" s="1">
        <f>B67*Y67</f>
        <v>0</v>
      </c>
      <c r="D67" s="1">
        <v>1140</v>
      </c>
      <c r="E67" s="1">
        <f>D67*Y67</f>
        <v>6.754499999999999</v>
      </c>
      <c r="G67" s="1">
        <f>F67*Y67</f>
        <v>0</v>
      </c>
      <c r="I67" s="1">
        <f>H67*Y67</f>
        <v>0</v>
      </c>
      <c r="K67" s="1">
        <f>J67*Y67</f>
        <v>0</v>
      </c>
      <c r="L67" s="1">
        <v>8000</v>
      </c>
      <c r="M67" s="1">
        <f>L67*Y67</f>
        <v>47.4</v>
      </c>
      <c r="N67" s="1" t="s">
        <v>26</v>
      </c>
      <c r="W67" s="1" t="s">
        <v>82</v>
      </c>
      <c r="X67" s="1">
        <f>B67+D67+F67+H67+J67+L67</f>
        <v>9140</v>
      </c>
      <c r="Y67" s="1">
        <v>0.005925</v>
      </c>
      <c r="Z67" s="2">
        <f>X67*Y67</f>
        <v>54.1545</v>
      </c>
      <c r="AB67" s="1">
        <v>2</v>
      </c>
    </row>
    <row r="68" spans="1:28" ht="12.75">
      <c r="A68" s="5">
        <v>42372</v>
      </c>
      <c r="C68" s="1">
        <f>B68*Y68</f>
        <v>0</v>
      </c>
      <c r="D68" s="1">
        <f>2020+1250</f>
        <v>3270</v>
      </c>
      <c r="E68" s="1">
        <f>D68*Y68</f>
        <v>19.37475</v>
      </c>
      <c r="G68" s="1">
        <f>F68*Y68</f>
        <v>0</v>
      </c>
      <c r="H68" s="1">
        <v>16000</v>
      </c>
      <c r="I68" s="1">
        <f>H68*Y68</f>
        <v>94.8</v>
      </c>
      <c r="K68" s="1">
        <f>J68*Y68</f>
        <v>0</v>
      </c>
      <c r="L68" s="1">
        <v>8000</v>
      </c>
      <c r="M68" s="1">
        <f>L68*Y68</f>
        <v>47.4</v>
      </c>
      <c r="N68" s="1" t="s">
        <v>26</v>
      </c>
      <c r="V68" s="1">
        <v>3</v>
      </c>
      <c r="W68" s="1" t="s">
        <v>83</v>
      </c>
      <c r="X68" s="1">
        <f>B68+D68+F68+H68+J68+L68</f>
        <v>27270</v>
      </c>
      <c r="Y68" s="1">
        <v>0.005925</v>
      </c>
      <c r="Z68" s="2">
        <f>X68*Y68</f>
        <v>161.57475</v>
      </c>
      <c r="AB68" s="1">
        <v>2</v>
      </c>
    </row>
    <row r="69" spans="1:28" ht="12.75">
      <c r="A69" s="10">
        <v>42373</v>
      </c>
      <c r="C69" s="1">
        <f>B69*Y69</f>
        <v>0</v>
      </c>
      <c r="D69" s="1">
        <v>1050</v>
      </c>
      <c r="E69" s="1">
        <f>D69*Y69</f>
        <v>6.2212499999999995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W69" s="1" t="s">
        <v>84</v>
      </c>
      <c r="X69" s="1">
        <f>B69+D69+F69+H69+J69+L69</f>
        <v>1050</v>
      </c>
      <c r="Y69" s="1">
        <v>0.005925</v>
      </c>
      <c r="Z69" s="2">
        <f>X69*Y69</f>
        <v>6.2212499999999995</v>
      </c>
      <c r="AB69" s="1">
        <v>2</v>
      </c>
    </row>
    <row r="70" spans="1:28" ht="12.75">
      <c r="A70" s="5">
        <v>42354</v>
      </c>
      <c r="C70" s="1">
        <f>B70*Y70</f>
        <v>0</v>
      </c>
      <c r="D70" s="1">
        <v>3900</v>
      </c>
      <c r="E70" s="1">
        <f>D70*Y70</f>
        <v>23.107499999999998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S70" s="1" t="s">
        <v>26</v>
      </c>
      <c r="X70" s="1">
        <f>B70+D70+F70+H70+J70+L70</f>
        <v>3900</v>
      </c>
      <c r="Y70" s="1">
        <v>0.005925</v>
      </c>
      <c r="Z70" s="2">
        <f>X70*Y70</f>
        <v>23.107499999999998</v>
      </c>
      <c r="AB70" s="1">
        <v>2</v>
      </c>
    </row>
    <row r="71" spans="1:28" ht="12.75">
      <c r="A71" s="5">
        <v>42355</v>
      </c>
      <c r="B71" s="1">
        <v>1000</v>
      </c>
      <c r="C71" s="1">
        <f>B71*Y71</f>
        <v>5.925</v>
      </c>
      <c r="D71" s="1">
        <f>4400+1300</f>
        <v>5700</v>
      </c>
      <c r="E71" s="1">
        <f>D71*Y71</f>
        <v>33.7725</v>
      </c>
      <c r="F71" s="1">
        <v>5300</v>
      </c>
      <c r="G71" s="1">
        <f>F71*Y71</f>
        <v>31.4025</v>
      </c>
      <c r="I71" s="1">
        <f>H71*Y71</f>
        <v>0</v>
      </c>
      <c r="K71" s="1">
        <f>J71*Y71</f>
        <v>0</v>
      </c>
      <c r="M71" s="1">
        <f>L71*Y71</f>
        <v>0</v>
      </c>
      <c r="S71" s="1" t="s">
        <v>26</v>
      </c>
      <c r="W71" s="1" t="s">
        <v>85</v>
      </c>
      <c r="X71" s="1">
        <f>B71+D71+F71+H71+J71+L71</f>
        <v>12000</v>
      </c>
      <c r="Y71" s="1">
        <v>0.005925</v>
      </c>
      <c r="Z71" s="2">
        <f>X71*Y71</f>
        <v>71.1</v>
      </c>
      <c r="AB71" s="1">
        <v>2</v>
      </c>
    </row>
    <row r="72" spans="1:28" ht="12.75">
      <c r="A72" s="5">
        <v>42356</v>
      </c>
      <c r="B72" s="1">
        <f>1000+1600+4000+4000+1600+1200</f>
        <v>13400</v>
      </c>
      <c r="C72" s="1">
        <f>B72*Y72</f>
        <v>79.395</v>
      </c>
      <c r="D72" s="1">
        <f>680+6037</f>
        <v>6717</v>
      </c>
      <c r="E72" s="1">
        <f>D72*Y72</f>
        <v>39.798224999999995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S72" s="1" t="s">
        <v>26</v>
      </c>
      <c r="W72" s="1" t="s">
        <v>85</v>
      </c>
      <c r="X72" s="1">
        <f>B72+D72+F72+H72+J72+L72</f>
        <v>20117</v>
      </c>
      <c r="Y72" s="1">
        <v>0.005925</v>
      </c>
      <c r="Z72" s="2">
        <f>X72*Y72</f>
        <v>119.193225</v>
      </c>
      <c r="AB72" s="1">
        <v>2</v>
      </c>
    </row>
    <row r="73" spans="1:28" ht="12.75">
      <c r="A73" s="5">
        <v>42357</v>
      </c>
      <c r="B73" s="1">
        <f>1600+9000</f>
        <v>10600</v>
      </c>
      <c r="C73" s="1">
        <f>B73*Y73</f>
        <v>62.805</v>
      </c>
      <c r="D73" s="1">
        <v>5300</v>
      </c>
      <c r="E73" s="1">
        <f>D73*Y73</f>
        <v>31.4025</v>
      </c>
      <c r="G73" s="1">
        <f>F73*Y73</f>
        <v>0</v>
      </c>
      <c r="I73" s="1">
        <f>H73*Y73</f>
        <v>0</v>
      </c>
      <c r="J73" s="1">
        <v>400</v>
      </c>
      <c r="K73" s="1">
        <f>J73*Y73</f>
        <v>2.37</v>
      </c>
      <c r="L73" s="1">
        <v>6500</v>
      </c>
      <c r="M73" s="1">
        <f>L73*Y73</f>
        <v>38.512499999999996</v>
      </c>
      <c r="N73" s="1" t="s">
        <v>26</v>
      </c>
      <c r="W73" s="1" t="s">
        <v>86</v>
      </c>
      <c r="X73" s="1">
        <f>B73+D73+F73+H73+J73+L73</f>
        <v>22800</v>
      </c>
      <c r="Y73" s="1">
        <v>0.005925</v>
      </c>
      <c r="Z73" s="2">
        <f>X73*Y73</f>
        <v>135.09</v>
      </c>
      <c r="AB73" s="1">
        <v>2</v>
      </c>
    </row>
    <row r="74" spans="1:28" ht="12.75">
      <c r="A74" s="5">
        <v>42358</v>
      </c>
      <c r="C74" s="1">
        <f>B74*Y74</f>
        <v>0</v>
      </c>
      <c r="D74" s="1">
        <v>2060</v>
      </c>
      <c r="E74" s="1">
        <f>D74*Y74</f>
        <v>12.205499999999999</v>
      </c>
      <c r="G74" s="1">
        <f>F74*Y74</f>
        <v>0</v>
      </c>
      <c r="I74" s="1">
        <f>H74*Y74</f>
        <v>0</v>
      </c>
      <c r="K74" s="1">
        <f>J74*Y74</f>
        <v>0</v>
      </c>
      <c r="L74" s="1">
        <v>6500</v>
      </c>
      <c r="M74" s="1">
        <f>L74*Y74</f>
        <v>38.512499999999996</v>
      </c>
      <c r="N74" s="1" t="s">
        <v>26</v>
      </c>
      <c r="W74" s="1" t="s">
        <v>87</v>
      </c>
      <c r="X74" s="1">
        <f>B74+D74+F74+H74+J74+L74</f>
        <v>8560</v>
      </c>
      <c r="Y74" s="1">
        <v>0.005925</v>
      </c>
      <c r="Z74" s="2">
        <f>X74*Y74</f>
        <v>50.717999999999996</v>
      </c>
      <c r="AB74" s="1">
        <v>2</v>
      </c>
    </row>
    <row r="75" spans="1:28" ht="12.75">
      <c r="A75" s="5">
        <v>42359</v>
      </c>
      <c r="B75" s="1">
        <v>4000</v>
      </c>
      <c r="C75" s="1">
        <f>B75*Y75</f>
        <v>23.7</v>
      </c>
      <c r="D75" s="1">
        <f>1020+4530</f>
        <v>5550</v>
      </c>
      <c r="E75" s="1">
        <f>D75*Y75</f>
        <v>32.88375</v>
      </c>
      <c r="G75" s="1">
        <f>F75*Y75</f>
        <v>0</v>
      </c>
      <c r="I75" s="1">
        <f>H75*Y75</f>
        <v>0</v>
      </c>
      <c r="K75" s="1">
        <f>J75*Y75</f>
        <v>0</v>
      </c>
      <c r="L75" s="1">
        <v>16000</v>
      </c>
      <c r="M75" s="1">
        <f>L75*Y75</f>
        <v>94.8</v>
      </c>
      <c r="P75" s="1" t="s">
        <v>26</v>
      </c>
      <c r="W75" s="1" t="s">
        <v>88</v>
      </c>
      <c r="X75" s="1">
        <f>B75+D75+F75+H75+J75+L75</f>
        <v>25550</v>
      </c>
      <c r="Y75" s="1">
        <v>0.005925</v>
      </c>
      <c r="Z75" s="2">
        <f>X75*Y75</f>
        <v>151.38375</v>
      </c>
      <c r="AB75" s="1">
        <v>2</v>
      </c>
    </row>
    <row r="76" spans="1:28" ht="12.75">
      <c r="A76" s="5">
        <v>42360</v>
      </c>
      <c r="B76" s="1">
        <v>1600</v>
      </c>
      <c r="C76" s="1">
        <f>B76*Y76</f>
        <v>9.48</v>
      </c>
      <c r="D76" s="1">
        <f>1120+1820</f>
        <v>2940</v>
      </c>
      <c r="E76" s="1">
        <f>D76*Y76</f>
        <v>17.4195</v>
      </c>
      <c r="G76" s="1">
        <f>F76*Y76</f>
        <v>0</v>
      </c>
      <c r="I76" s="1">
        <f>H76*Y76</f>
        <v>0</v>
      </c>
      <c r="J76" s="1">
        <v>150</v>
      </c>
      <c r="K76" s="1">
        <f>J76*Y76</f>
        <v>0.8887499999999999</v>
      </c>
      <c r="L76" s="1">
        <v>6000</v>
      </c>
      <c r="M76" s="1">
        <f>L76*Y76</f>
        <v>35.55</v>
      </c>
      <c r="P76" s="1" t="s">
        <v>26</v>
      </c>
      <c r="W76" s="1" t="s">
        <v>89</v>
      </c>
      <c r="X76" s="1">
        <f>B76+D76+F76+H76+J76+L76</f>
        <v>10690</v>
      </c>
      <c r="Y76" s="1">
        <v>0.005925</v>
      </c>
      <c r="Z76" s="2">
        <f>X76*Y76</f>
        <v>63.338249999999995</v>
      </c>
      <c r="AB76" s="1">
        <v>2</v>
      </c>
    </row>
    <row r="77" spans="1:28" ht="12.75">
      <c r="A77" s="5">
        <v>42361</v>
      </c>
      <c r="B77" s="1">
        <f>1400+1400+1000+1000+1500+1500</f>
        <v>7800</v>
      </c>
      <c r="C77" s="1">
        <f>B77*Y77</f>
        <v>46.214999999999996</v>
      </c>
      <c r="D77" s="1">
        <f>1190+4010</f>
        <v>5200</v>
      </c>
      <c r="E77" s="1">
        <f>D77*Y77</f>
        <v>30.81</v>
      </c>
      <c r="G77" s="1">
        <f>F77*Y77</f>
        <v>0</v>
      </c>
      <c r="I77" s="1">
        <f>H77*Y77</f>
        <v>0</v>
      </c>
      <c r="K77" s="1">
        <f>J77*Y77</f>
        <v>0</v>
      </c>
      <c r="L77" s="1">
        <v>6000</v>
      </c>
      <c r="M77" s="1">
        <f>L77*Y77</f>
        <v>35.55</v>
      </c>
      <c r="P77" s="1" t="s">
        <v>26</v>
      </c>
      <c r="W77" s="1" t="s">
        <v>89</v>
      </c>
      <c r="X77" s="1">
        <f>B77+D77+F77+H77+J77+L77</f>
        <v>19000</v>
      </c>
      <c r="Y77" s="1">
        <v>0.005925</v>
      </c>
      <c r="Z77" s="2">
        <f>X77*Y77</f>
        <v>112.57499999999999</v>
      </c>
      <c r="AB77" s="1">
        <v>2</v>
      </c>
    </row>
    <row r="78" spans="1:28" ht="12.75">
      <c r="A78" s="5">
        <v>42362</v>
      </c>
      <c r="B78" s="1">
        <v>4800</v>
      </c>
      <c r="C78" s="1">
        <f>B78*Y78</f>
        <v>28.439999999999998</v>
      </c>
      <c r="D78" s="1">
        <v>3600</v>
      </c>
      <c r="E78" s="1">
        <f>D78*Y78</f>
        <v>21.33</v>
      </c>
      <c r="G78" s="1">
        <f>F78*Y78</f>
        <v>0</v>
      </c>
      <c r="H78" s="1">
        <v>1000</v>
      </c>
      <c r="I78" s="1">
        <f>H78*Y78</f>
        <v>5.925</v>
      </c>
      <c r="K78" s="1">
        <f>J78*Y78</f>
        <v>0</v>
      </c>
      <c r="L78" s="1">
        <v>6000</v>
      </c>
      <c r="M78" s="1">
        <f>L78*Y78</f>
        <v>35.55</v>
      </c>
      <c r="P78" s="1" t="s">
        <v>26</v>
      </c>
      <c r="W78" s="1" t="s">
        <v>89</v>
      </c>
      <c r="X78" s="1">
        <f>B78+D78+F78+H78+J78+L78</f>
        <v>15400</v>
      </c>
      <c r="Y78" s="1">
        <v>0.005925</v>
      </c>
      <c r="Z78" s="2">
        <f>X78*Y78</f>
        <v>91.24499999999999</v>
      </c>
      <c r="AB78" s="1">
        <v>2</v>
      </c>
    </row>
    <row r="79" spans="1:28" ht="12.75">
      <c r="A79" s="5">
        <v>42363</v>
      </c>
      <c r="B79" s="1">
        <f>1500+4000</f>
        <v>5500</v>
      </c>
      <c r="C79" s="1">
        <f>B79*Y79</f>
        <v>32.5875</v>
      </c>
      <c r="D79" s="1">
        <v>1000</v>
      </c>
      <c r="E79" s="1">
        <f>D79*Y79</f>
        <v>5.925</v>
      </c>
      <c r="G79" s="1">
        <f>F79*Y79</f>
        <v>0</v>
      </c>
      <c r="I79" s="1">
        <f>H79*Y79</f>
        <v>0</v>
      </c>
      <c r="K79" s="1">
        <f>J79*Y79</f>
        <v>0</v>
      </c>
      <c r="L79" s="1">
        <v>8000</v>
      </c>
      <c r="M79" s="1">
        <f>L79*Y79</f>
        <v>47.4</v>
      </c>
      <c r="N79" s="1" t="s">
        <v>26</v>
      </c>
      <c r="W79" s="1" t="s">
        <v>90</v>
      </c>
      <c r="X79" s="1">
        <f>B79+D79+F79+H79+J79+L79</f>
        <v>14500</v>
      </c>
      <c r="Y79" s="1">
        <v>0.005925</v>
      </c>
      <c r="Z79" s="2">
        <f>X79*Y79</f>
        <v>85.9125</v>
      </c>
      <c r="AB79" s="1">
        <v>2</v>
      </c>
    </row>
    <row r="80" spans="1:28" ht="12.75">
      <c r="A80" s="5">
        <v>42364</v>
      </c>
      <c r="C80" s="1">
        <f>B80*Y80</f>
        <v>0</v>
      </c>
      <c r="D80" s="1">
        <f>1000+600</f>
        <v>1600</v>
      </c>
      <c r="E80" s="1">
        <f>D80*Y80</f>
        <v>9.48</v>
      </c>
      <c r="G80" s="1">
        <f>F80*Y80</f>
        <v>0</v>
      </c>
      <c r="H80" s="1">
        <v>3000</v>
      </c>
      <c r="I80" s="1">
        <f>H80*Y80</f>
        <v>17.775</v>
      </c>
      <c r="K80" s="1">
        <f>J80*Y80</f>
        <v>0</v>
      </c>
      <c r="L80" s="1">
        <v>8000</v>
      </c>
      <c r="M80" s="1">
        <f>L80*Y80</f>
        <v>47.4</v>
      </c>
      <c r="N80" s="1" t="s">
        <v>26</v>
      </c>
      <c r="W80" s="1" t="s">
        <v>90</v>
      </c>
      <c r="X80" s="1">
        <f>B80+D80+F80+H80+J80+L80</f>
        <v>12600</v>
      </c>
      <c r="Y80" s="1">
        <v>0.005925</v>
      </c>
      <c r="Z80" s="2">
        <f>X80*Y80</f>
        <v>74.655</v>
      </c>
      <c r="AB80" s="1">
        <v>2</v>
      </c>
    </row>
    <row r="81" spans="1:28" ht="12.75">
      <c r="A81" s="5">
        <v>42365</v>
      </c>
      <c r="B81" s="1">
        <f>1300*2+1500*2</f>
        <v>5600</v>
      </c>
      <c r="C81" s="1">
        <f>B81*Y81</f>
        <v>33.18</v>
      </c>
      <c r="D81" s="1">
        <f>1160+1550+1100</f>
        <v>3810</v>
      </c>
      <c r="E81" s="1">
        <f>D81*Y81</f>
        <v>22.57425</v>
      </c>
      <c r="G81" s="1">
        <f>F81*Y81</f>
        <v>0</v>
      </c>
      <c r="I81" s="1">
        <f>H81*Y81</f>
        <v>0</v>
      </c>
      <c r="K81" s="1">
        <f>J81*Y81</f>
        <v>0</v>
      </c>
      <c r="L81" s="1">
        <v>15000</v>
      </c>
      <c r="M81" s="1">
        <f>L81*Y81</f>
        <v>88.875</v>
      </c>
      <c r="P81" s="1" t="s">
        <v>26</v>
      </c>
      <c r="W81" s="1" t="s">
        <v>91</v>
      </c>
      <c r="X81" s="1">
        <f>B81+D81+F81+H81+J81+L81</f>
        <v>24410</v>
      </c>
      <c r="Y81" s="1">
        <v>0.005925</v>
      </c>
      <c r="Z81" s="2">
        <f>X81*Y81</f>
        <v>144.62924999999998</v>
      </c>
      <c r="AB81" s="1">
        <v>2</v>
      </c>
    </row>
    <row r="82" spans="1:28" ht="12.75">
      <c r="A82" s="5">
        <v>42366</v>
      </c>
      <c r="C82" s="1">
        <f>B82*Y82</f>
        <v>0</v>
      </c>
      <c r="D82" s="1">
        <f>500+1660+380</f>
        <v>2540</v>
      </c>
      <c r="E82" s="1">
        <f>D82*Y82</f>
        <v>15.0495</v>
      </c>
      <c r="F82" s="1">
        <v>8500</v>
      </c>
      <c r="G82" s="1">
        <f>F82*Y82</f>
        <v>50.3625</v>
      </c>
      <c r="I82" s="1">
        <f>H82*Y82</f>
        <v>0</v>
      </c>
      <c r="K82" s="1">
        <f>J82*Y82</f>
        <v>0</v>
      </c>
      <c r="L82" s="1">
        <v>15000</v>
      </c>
      <c r="M82" s="1">
        <f>L82*Y82</f>
        <v>88.875</v>
      </c>
      <c r="P82" s="1" t="s">
        <v>26</v>
      </c>
      <c r="W82" s="1" t="s">
        <v>91</v>
      </c>
      <c r="X82" s="1">
        <f>B82+D82+F82+H82+J82+L82</f>
        <v>26040</v>
      </c>
      <c r="Y82" s="1">
        <v>0.005925</v>
      </c>
      <c r="Z82" s="2">
        <f>X82*Y82</f>
        <v>154.287</v>
      </c>
      <c r="AB82" s="1">
        <v>2</v>
      </c>
    </row>
    <row r="83" spans="1:28" ht="12.75">
      <c r="A83" s="5">
        <v>42367</v>
      </c>
      <c r="B83" s="1">
        <v>20900</v>
      </c>
      <c r="C83" s="1">
        <f>B83*Y83</f>
        <v>123.8325</v>
      </c>
      <c r="D83" s="1">
        <f>1340+660+340</f>
        <v>2340</v>
      </c>
      <c r="E83" s="1">
        <f>D83*Y83</f>
        <v>13.8645</v>
      </c>
      <c r="G83" s="1">
        <f>F83*Y83</f>
        <v>0</v>
      </c>
      <c r="I83" s="1">
        <f>H83*Y83</f>
        <v>0</v>
      </c>
      <c r="K83" s="1">
        <f>J83*Y83</f>
        <v>0</v>
      </c>
      <c r="M83" s="1">
        <f>L83*Y83</f>
        <v>0</v>
      </c>
      <c r="U83" s="1" t="s">
        <v>26</v>
      </c>
      <c r="W83" s="1" t="s">
        <v>91</v>
      </c>
      <c r="X83" s="1">
        <f>B83+D83+F83+H83+J83+L83</f>
        <v>23240</v>
      </c>
      <c r="Y83" s="1">
        <v>0.005925</v>
      </c>
      <c r="Z83" s="2">
        <f>X83*Y83</f>
        <v>137.697</v>
      </c>
      <c r="AB83" s="1">
        <v>2</v>
      </c>
    </row>
    <row r="84" spans="1:28" ht="12.75">
      <c r="A84" s="5">
        <v>42368</v>
      </c>
      <c r="C84" s="1">
        <f>B84*Y84</f>
        <v>0</v>
      </c>
      <c r="D84" s="1">
        <f>1100+1560+8190</f>
        <v>10850</v>
      </c>
      <c r="E84" s="1">
        <f>D84*Y84</f>
        <v>64.28625</v>
      </c>
      <c r="F84" s="8"/>
      <c r="G84" s="1">
        <f>F84*Y84</f>
        <v>0</v>
      </c>
      <c r="I84" s="1">
        <f>H84*Y84</f>
        <v>0</v>
      </c>
      <c r="J84" s="1">
        <v>3000</v>
      </c>
      <c r="K84" s="1">
        <f>J84*Y84</f>
        <v>17.775</v>
      </c>
      <c r="L84" s="1">
        <v>10000</v>
      </c>
      <c r="M84" s="1">
        <f>L84*Y84</f>
        <v>59.25</v>
      </c>
      <c r="N84" s="1" t="s">
        <v>26</v>
      </c>
      <c r="V84" s="1">
        <v>2</v>
      </c>
      <c r="W84" s="1" t="s">
        <v>92</v>
      </c>
      <c r="X84" s="1">
        <f>B84+D84+F84+H84+J84+L84</f>
        <v>23850</v>
      </c>
      <c r="Y84" s="1">
        <v>0.005925</v>
      </c>
      <c r="Z84" s="2">
        <f>X84*Y84</f>
        <v>141.31125</v>
      </c>
      <c r="AB84" s="1">
        <v>2</v>
      </c>
    </row>
    <row r="85" spans="1:28" ht="12.75">
      <c r="A85" s="5">
        <v>42369</v>
      </c>
      <c r="C85" s="1">
        <f>B85*Y85</f>
        <v>0</v>
      </c>
      <c r="D85" s="1">
        <f>2400+300</f>
        <v>2700</v>
      </c>
      <c r="E85" s="1">
        <f>D85*Y85</f>
        <v>15.997499999999999</v>
      </c>
      <c r="F85" s="8"/>
      <c r="G85" s="1">
        <f>F85*Y85</f>
        <v>0</v>
      </c>
      <c r="I85" s="1">
        <f>H85*Y85</f>
        <v>0</v>
      </c>
      <c r="J85" s="1">
        <v>8900</v>
      </c>
      <c r="K85" s="1">
        <f>J85*Y85</f>
        <v>52.732499999999995</v>
      </c>
      <c r="L85" s="1">
        <v>10000</v>
      </c>
      <c r="M85" s="1">
        <f>L85*Y85</f>
        <v>59.25</v>
      </c>
      <c r="W85" s="1" t="s">
        <v>92</v>
      </c>
      <c r="X85" s="1">
        <f>B85+D85+F85+H85+J85+L85</f>
        <v>21600</v>
      </c>
      <c r="Y85" s="1">
        <v>0.005925</v>
      </c>
      <c r="Z85" s="2">
        <f>X85*Y85</f>
        <v>127.97999999999999</v>
      </c>
      <c r="AB85" s="1">
        <v>2</v>
      </c>
    </row>
    <row r="86" spans="3:26" ht="12.75">
      <c r="C86" s="1">
        <f>B86*Y86</f>
        <v>0</v>
      </c>
      <c r="E86" s="1">
        <f>D86*Y86</f>
        <v>0</v>
      </c>
      <c r="G86" s="1">
        <f>F86*Y86</f>
        <v>0</v>
      </c>
      <c r="I86" s="1">
        <f>H86*Y86</f>
        <v>0</v>
      </c>
      <c r="K86" s="1">
        <f>J86*Y86</f>
        <v>0</v>
      </c>
      <c r="M86" s="1">
        <f>L86*Y86</f>
        <v>0</v>
      </c>
      <c r="X86" s="1">
        <f>B86+D86+F86+H86+J86+L86</f>
        <v>0</v>
      </c>
      <c r="Z86" s="2">
        <f>X86*Y86</f>
        <v>0</v>
      </c>
    </row>
    <row r="87" spans="3:26" ht="12.75">
      <c r="C87" s="1">
        <f>B87*Y87</f>
        <v>0</v>
      </c>
      <c r="E87" s="1">
        <f>D87*Y87</f>
        <v>0</v>
      </c>
      <c r="G87" s="1">
        <f>F87*Y87</f>
        <v>0</v>
      </c>
      <c r="I87" s="1">
        <f>H87*Y87</f>
        <v>0</v>
      </c>
      <c r="K87" s="1">
        <f>J87*Y87</f>
        <v>0</v>
      </c>
      <c r="M87" s="1">
        <f>L87*Y87</f>
        <v>0</v>
      </c>
      <c r="X87" s="1">
        <f>B87+D87+F87+H87+J87+L87</f>
        <v>0</v>
      </c>
      <c r="Z87" s="2">
        <f>X87*Y87</f>
        <v>0</v>
      </c>
    </row>
    <row r="88" spans="3:26" ht="12.75">
      <c r="C88" s="1">
        <f>B88*Y88</f>
        <v>0</v>
      </c>
      <c r="E88" s="1">
        <f>D88*Y88</f>
        <v>0</v>
      </c>
      <c r="G88" s="1">
        <f>F88*Y88</f>
        <v>0</v>
      </c>
      <c r="I88" s="1">
        <f>H88*Y88</f>
        <v>0</v>
      </c>
      <c r="K88" s="1">
        <f>J88*Y88</f>
        <v>0</v>
      </c>
      <c r="M88" s="1">
        <f>L88*Y88</f>
        <v>0</v>
      </c>
      <c r="X88" s="1">
        <f>B88+D88+F88+H88+J88+L88</f>
        <v>0</v>
      </c>
      <c r="Z88" s="2">
        <f>X88*Y88</f>
        <v>0</v>
      </c>
    </row>
    <row r="89" spans="3:26" ht="12.75">
      <c r="C89" s="1">
        <f>B89*Y89</f>
        <v>0</v>
      </c>
      <c r="E89" s="1">
        <f>D89*Y89</f>
        <v>0</v>
      </c>
      <c r="G89" s="1">
        <f>F89*Y89</f>
        <v>0</v>
      </c>
      <c r="I89" s="1">
        <f>H89*Y89</f>
        <v>0</v>
      </c>
      <c r="K89" s="1">
        <f>J89*Y89</f>
        <v>0</v>
      </c>
      <c r="M89" s="1">
        <f>L89*Y89</f>
        <v>0</v>
      </c>
      <c r="X89" s="1">
        <f>B89+D89+F89+H89+J89+L89</f>
        <v>0</v>
      </c>
      <c r="Z89" s="2">
        <f>X89*Y89</f>
        <v>0</v>
      </c>
    </row>
    <row r="90" spans="3:26" ht="12.75">
      <c r="C90" s="1">
        <f>B90*Y90</f>
        <v>0</v>
      </c>
      <c r="E90" s="1">
        <f>D90*Y90</f>
        <v>0</v>
      </c>
      <c r="G90" s="1">
        <f>F90*Y90</f>
        <v>0</v>
      </c>
      <c r="I90" s="1">
        <f>H90*Y90</f>
        <v>0</v>
      </c>
      <c r="K90" s="1">
        <f>J90*Y90</f>
        <v>0</v>
      </c>
      <c r="M90" s="1">
        <f>L90*Y90</f>
        <v>0</v>
      </c>
      <c r="X90" s="1">
        <f>B90+D90+F90+H90+J90+L90</f>
        <v>0</v>
      </c>
      <c r="Z90" s="2">
        <f>X90*Y90</f>
        <v>0</v>
      </c>
    </row>
    <row r="91" spans="3:26" ht="12.75">
      <c r="C91" s="1">
        <f>B91*Y91</f>
        <v>0</v>
      </c>
      <c r="E91" s="1">
        <f>D91*Y91</f>
        <v>0</v>
      </c>
      <c r="I91" s="1">
        <f>H91*Y91</f>
        <v>0</v>
      </c>
      <c r="K91" s="1">
        <f>J91*Y91</f>
        <v>0</v>
      </c>
      <c r="X91" s="1">
        <f>B91+D91+F91+H91+J91+L91</f>
        <v>0</v>
      </c>
      <c r="Z91" s="2">
        <f>X91*Y91</f>
        <v>0</v>
      </c>
    </row>
    <row r="92" spans="3:24" ht="12.75">
      <c r="C92" s="1">
        <f>B92*Y92</f>
        <v>0</v>
      </c>
      <c r="E92" s="1">
        <f>D92*Y92</f>
        <v>0</v>
      </c>
      <c r="I92" s="1">
        <f>H92*Y92</f>
        <v>0</v>
      </c>
      <c r="K92" s="1">
        <f>J92*Y92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I93" s="1">
        <f>H93*Y93</f>
        <v>0</v>
      </c>
      <c r="K93" s="1">
        <f>J93*Y93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K94" s="1">
        <f>J94*Y94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K95" s="1">
        <f>J95*Y95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K96" s="1">
        <f>J96*Y96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K97" s="1">
        <f>J97*Y97</f>
        <v>0</v>
      </c>
      <c r="X97" s="1">
        <f>B97+D97+F97+H97+J97+L97</f>
        <v>0</v>
      </c>
    </row>
    <row r="98" spans="3:11" ht="12.75">
      <c r="C98" s="1">
        <f>B98*Y98</f>
        <v>0</v>
      </c>
      <c r="K98" s="1">
        <f>J98*Y98</f>
        <v>0</v>
      </c>
    </row>
    <row r="99" spans="3:11" ht="12.75">
      <c r="C99" s="1">
        <f>B99*Y99</f>
        <v>0</v>
      </c>
      <c r="K99" s="1">
        <f>J99*Y99</f>
        <v>0</v>
      </c>
    </row>
    <row r="100" spans="3:11" ht="12.75">
      <c r="C100" s="1">
        <f>B100*Y100</f>
        <v>0</v>
      </c>
      <c r="K100" s="1">
        <f>J100*Y100</f>
        <v>0</v>
      </c>
    </row>
    <row r="101" spans="3:11" ht="12.75">
      <c r="C101" s="1">
        <f>B101*Y101</f>
        <v>0</v>
      </c>
      <c r="K101" s="1">
        <f>J101*Y101</f>
        <v>0</v>
      </c>
    </row>
    <row r="102" spans="3:11" ht="12.75">
      <c r="C102" s="1">
        <f>B102*Y102</f>
        <v>0</v>
      </c>
      <c r="K102" s="1">
        <f>J102*Y102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X1">
      <selection activeCell="AP30" sqref="AP30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4.42187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6.00390625" style="1" customWidth="1"/>
    <col min="24" max="24" width="17.7109375" style="1" customWidth="1"/>
    <col min="25" max="25" width="8.140625" style="1" customWidth="1"/>
    <col min="26" max="26" width="7.5742187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W1" s="1" t="s">
        <v>249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42401</v>
      </c>
      <c r="C2" s="1">
        <f>B2*Y2</f>
        <v>0</v>
      </c>
      <c r="D2" s="1">
        <f>4600+1050</f>
        <v>5650</v>
      </c>
      <c r="E2" s="1">
        <f>D2*Y2</f>
        <v>34.465</v>
      </c>
      <c r="G2" s="1">
        <f>F2*Y2</f>
        <v>0</v>
      </c>
      <c r="I2" s="1">
        <f>H2*Y2</f>
        <v>0</v>
      </c>
      <c r="K2" s="1">
        <f>J2*Y2</f>
        <v>0</v>
      </c>
      <c r="L2" s="1">
        <v>10000</v>
      </c>
      <c r="M2" s="1">
        <f>L2*Y2</f>
        <v>61.00000000000001</v>
      </c>
      <c r="N2" s="37" t="s">
        <v>26</v>
      </c>
      <c r="O2" s="37"/>
      <c r="P2" s="37"/>
      <c r="Q2" s="37"/>
      <c r="R2" s="37"/>
      <c r="S2" s="37"/>
      <c r="T2" s="37"/>
      <c r="U2" s="37"/>
      <c r="W2" s="1" t="s">
        <v>75</v>
      </c>
      <c r="X2" s="38">
        <f>B2+D2+F2+H2+J2+L2</f>
        <v>15650</v>
      </c>
      <c r="Y2" s="38">
        <v>0.0061</v>
      </c>
      <c r="Z2" s="43">
        <f>X2*Y2</f>
        <v>95.465</v>
      </c>
      <c r="AB2" s="1">
        <v>2</v>
      </c>
      <c r="AD2" s="44" t="s">
        <v>28</v>
      </c>
      <c r="AE2" s="44">
        <f>SUM(Z2:Z995)</f>
        <v>1614.0031</v>
      </c>
      <c r="AF2" s="44"/>
      <c r="AG2" s="44" t="s">
        <v>29</v>
      </c>
      <c r="AH2" s="58">
        <f>AE2/AE5</f>
        <v>55.655279310344824</v>
      </c>
      <c r="AJ2" s="44" t="s">
        <v>93</v>
      </c>
      <c r="AK2" s="44">
        <f>COUNTBLANK(L2:L41)-COUNTBLANK(A2:A41)</f>
        <v>20</v>
      </c>
      <c r="AL2" s="7"/>
      <c r="AM2" s="59" t="s">
        <v>31</v>
      </c>
      <c r="AN2" s="59">
        <f>SUMIF(AB2:AB45,"=1",Z2:Z45)</f>
        <v>1182.9099999999999</v>
      </c>
      <c r="AO2" s="7"/>
      <c r="AP2" s="59" t="s">
        <v>32</v>
      </c>
      <c r="AQ2" s="59">
        <f>SUMIF(AB2:AB45,"=2",Z2:Z45)</f>
        <v>431.09309999999994</v>
      </c>
    </row>
    <row r="3" spans="1:43" ht="12.75">
      <c r="A3" s="5">
        <v>42402</v>
      </c>
      <c r="C3" s="1">
        <f>B3*Y3</f>
        <v>0</v>
      </c>
      <c r="D3" s="1">
        <f>550+1900+3000</f>
        <v>5450</v>
      </c>
      <c r="E3" s="1">
        <f>D3*Y3</f>
        <v>33.245000000000005</v>
      </c>
      <c r="G3" s="1">
        <f>F3*Y3</f>
        <v>0</v>
      </c>
      <c r="I3" s="1">
        <f>H3*Y3</f>
        <v>0</v>
      </c>
      <c r="K3" s="1">
        <f>J3*Y3</f>
        <v>0</v>
      </c>
      <c r="L3" s="1">
        <v>10000</v>
      </c>
      <c r="M3" s="1">
        <f>L3*Y3</f>
        <v>61.00000000000001</v>
      </c>
      <c r="N3" s="37" t="s">
        <v>26</v>
      </c>
      <c r="O3" s="37"/>
      <c r="P3" s="37"/>
      <c r="Q3" s="37"/>
      <c r="R3" s="37"/>
      <c r="S3" s="37"/>
      <c r="T3" s="37"/>
      <c r="U3" s="37"/>
      <c r="W3" s="1" t="s">
        <v>75</v>
      </c>
      <c r="X3" s="38">
        <f>B3+D3+F3+H3+J3+L3</f>
        <v>15450</v>
      </c>
      <c r="Y3" s="38">
        <v>0.0061</v>
      </c>
      <c r="Z3" s="43">
        <f>X3*Y3</f>
        <v>94.245</v>
      </c>
      <c r="AB3" s="1">
        <v>2</v>
      </c>
      <c r="AD3" s="49"/>
      <c r="AE3" s="44"/>
      <c r="AF3" s="44"/>
      <c r="AG3" s="49"/>
      <c r="AH3" s="45"/>
      <c r="AJ3" s="44" t="s">
        <v>95</v>
      </c>
      <c r="AK3" s="44">
        <f>COUNT(L2:L37)</f>
        <v>9</v>
      </c>
      <c r="AM3" s="59" t="s">
        <v>35</v>
      </c>
      <c r="AN3" s="59">
        <f>_xlfn.COUNTIFS(A2:A45,"&lt;&gt;''",AB2:AB45,"=1")</f>
        <v>24</v>
      </c>
      <c r="AO3" s="7"/>
      <c r="AP3" s="59" t="s">
        <v>36</v>
      </c>
      <c r="AQ3" s="59">
        <f>_xlfn.COUNTIFS(A2:A45,"&lt;&gt;''",AB2:AB45,"=2")</f>
        <v>5</v>
      </c>
    </row>
    <row r="4" spans="1:43" ht="12.75">
      <c r="A4" s="5">
        <v>42403</v>
      </c>
      <c r="B4" s="1">
        <v>8000</v>
      </c>
      <c r="C4" s="1">
        <f>B4*Y4</f>
        <v>48.800000000000004</v>
      </c>
      <c r="D4" s="1">
        <f>1050+2400</f>
        <v>3450</v>
      </c>
      <c r="E4" s="1">
        <f>D4*Y4</f>
        <v>21.045</v>
      </c>
      <c r="G4" s="1">
        <f>F4*Y4</f>
        <v>0</v>
      </c>
      <c r="I4" s="1">
        <f>H4*Y4</f>
        <v>0</v>
      </c>
      <c r="K4" s="1">
        <f>J4*Y4</f>
        <v>0</v>
      </c>
      <c r="L4" s="1">
        <v>10000</v>
      </c>
      <c r="M4" s="1">
        <f>L4*Y4</f>
        <v>61.00000000000001</v>
      </c>
      <c r="N4" s="37" t="s">
        <v>26</v>
      </c>
      <c r="O4" s="37"/>
      <c r="P4" s="37"/>
      <c r="Q4" s="37"/>
      <c r="R4" s="37"/>
      <c r="S4" s="37"/>
      <c r="T4" s="37"/>
      <c r="U4" s="37"/>
      <c r="W4" s="1" t="s">
        <v>76</v>
      </c>
      <c r="X4" s="38">
        <f>B4+D4+F4+H4+J4+L4</f>
        <v>21450</v>
      </c>
      <c r="Y4" s="38">
        <v>0.0061</v>
      </c>
      <c r="Z4" s="43">
        <f>X4*Y4</f>
        <v>130.845</v>
      </c>
      <c r="AB4" s="1">
        <v>2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39</v>
      </c>
      <c r="AN4" s="59">
        <f>AN2/AN3</f>
        <v>49.28791666666666</v>
      </c>
      <c r="AO4" s="7"/>
      <c r="AP4" s="59" t="s">
        <v>40</v>
      </c>
      <c r="AQ4" s="59">
        <f>AQ2/AQ3</f>
        <v>86.21861999999999</v>
      </c>
    </row>
    <row r="5" spans="1:37" ht="12.75">
      <c r="A5" s="5">
        <v>42404</v>
      </c>
      <c r="C5" s="1">
        <f>B5*Y5</f>
        <v>0</v>
      </c>
      <c r="D5" s="1">
        <f>900+3000+2420+475</f>
        <v>6795</v>
      </c>
      <c r="E5" s="1">
        <f>D5*Y5</f>
        <v>41.4495</v>
      </c>
      <c r="G5" s="1">
        <f>F5*Y5</f>
        <v>0</v>
      </c>
      <c r="I5" s="1">
        <f>H5*Y5</f>
        <v>0</v>
      </c>
      <c r="K5" s="1">
        <f>J5*Y5</f>
        <v>0</v>
      </c>
      <c r="L5" s="1">
        <v>10000</v>
      </c>
      <c r="M5" s="1">
        <f>L5*Y5</f>
        <v>61.00000000000001</v>
      </c>
      <c r="N5" s="37" t="s">
        <v>26</v>
      </c>
      <c r="O5" s="37"/>
      <c r="P5" s="37"/>
      <c r="Q5" s="37"/>
      <c r="R5" s="37"/>
      <c r="S5" s="37"/>
      <c r="T5" s="37"/>
      <c r="U5" s="37"/>
      <c r="W5" s="1" t="s">
        <v>77</v>
      </c>
      <c r="X5" s="38">
        <f>B5+D5+F5+H5+J5+L5</f>
        <v>16795</v>
      </c>
      <c r="Y5" s="38">
        <v>0.0061</v>
      </c>
      <c r="Z5" s="43">
        <f>X5*Y5</f>
        <v>102.4495</v>
      </c>
      <c r="AB5" s="1">
        <v>2</v>
      </c>
      <c r="AD5" s="44" t="s">
        <v>42</v>
      </c>
      <c r="AE5" s="44">
        <f>COUNTA(A2:A350)</f>
        <v>29</v>
      </c>
      <c r="AF5" s="44"/>
      <c r="AG5" s="44"/>
      <c r="AH5" s="44"/>
      <c r="AJ5" s="49" t="s">
        <v>264</v>
      </c>
      <c r="AK5" s="44">
        <f>COUNTA(N2:N50)</f>
        <v>9</v>
      </c>
    </row>
    <row r="6" spans="1:37" ht="12.75">
      <c r="A6" s="5">
        <v>42405</v>
      </c>
      <c r="B6" s="1">
        <v>660</v>
      </c>
      <c r="C6" s="1">
        <f>B6*Y6</f>
        <v>4.026000000000001</v>
      </c>
      <c r="D6" s="1">
        <v>666</v>
      </c>
      <c r="E6" s="1">
        <f>D6*Y6</f>
        <v>4.062600000000001</v>
      </c>
      <c r="G6" s="1">
        <f>F6*Y6</f>
        <v>0</v>
      </c>
      <c r="I6" s="1">
        <f>H6*Y6</f>
        <v>0</v>
      </c>
      <c r="K6" s="1">
        <f>J6*Y6</f>
        <v>0</v>
      </c>
      <c r="M6" s="1">
        <f>L6*Y6</f>
        <v>0</v>
      </c>
      <c r="N6" s="37"/>
      <c r="O6" s="37" t="s">
        <v>26</v>
      </c>
      <c r="P6" s="37"/>
      <c r="Q6" s="37"/>
      <c r="R6" s="37"/>
      <c r="S6" s="37"/>
      <c r="T6" s="37"/>
      <c r="U6" s="37"/>
      <c r="V6" s="1">
        <v>3</v>
      </c>
      <c r="W6" s="1" t="s">
        <v>78</v>
      </c>
      <c r="X6" s="38">
        <f>B6+D6+F6+H6+J6+L6</f>
        <v>1326</v>
      </c>
      <c r="Y6" s="38">
        <v>0.0061</v>
      </c>
      <c r="Z6" s="43">
        <f>X6*Y6</f>
        <v>8.088600000000001</v>
      </c>
      <c r="AB6" s="1">
        <v>2</v>
      </c>
      <c r="AD6" s="49"/>
      <c r="AE6" s="44"/>
      <c r="AF6" s="44"/>
      <c r="AG6" s="44"/>
      <c r="AH6" s="44"/>
      <c r="AJ6" s="49" t="s">
        <v>265</v>
      </c>
      <c r="AK6" s="44">
        <f>COUNTA(P2:P50)</f>
        <v>1</v>
      </c>
    </row>
    <row r="7" spans="1:37" ht="12.75">
      <c r="A7" s="5">
        <v>42406</v>
      </c>
      <c r="C7" s="1">
        <f>B7*Y7</f>
        <v>0</v>
      </c>
      <c r="D7" s="1">
        <v>100</v>
      </c>
      <c r="E7" s="1">
        <f>D7*Y7</f>
        <v>28.999999999999996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N7" s="37" t="s">
        <v>26</v>
      </c>
      <c r="O7" s="37"/>
      <c r="P7" s="37"/>
      <c r="Q7" s="37"/>
      <c r="R7" s="37"/>
      <c r="S7" s="37"/>
      <c r="T7" s="37"/>
      <c r="U7" s="37"/>
      <c r="V7" s="1">
        <v>2</v>
      </c>
      <c r="W7" s="1" t="s">
        <v>276</v>
      </c>
      <c r="X7" s="38">
        <f>B7+D7+F7+H7+J7+L7</f>
        <v>100</v>
      </c>
      <c r="Y7" s="38">
        <v>0.29</v>
      </c>
      <c r="Z7" s="43">
        <f>X7*Y7</f>
        <v>28.999999999999996</v>
      </c>
      <c r="AB7" s="1">
        <v>1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COUNTA(Q2:Q50)</f>
        <v>0</v>
      </c>
    </row>
    <row r="8" spans="1:37" ht="12.75">
      <c r="A8" s="5">
        <v>42407</v>
      </c>
      <c r="B8" s="1">
        <v>110</v>
      </c>
      <c r="C8" s="1">
        <f>B8*Y8</f>
        <v>31.9</v>
      </c>
      <c r="E8" s="1">
        <f>D8*Y8</f>
        <v>0</v>
      </c>
      <c r="G8" s="1">
        <f>F8*Y8</f>
        <v>0</v>
      </c>
      <c r="I8" s="1">
        <f>H8*Y8</f>
        <v>0</v>
      </c>
      <c r="K8" s="1">
        <f>J8*Y8</f>
        <v>0</v>
      </c>
      <c r="M8" s="1">
        <f>L8*Y8</f>
        <v>0</v>
      </c>
      <c r="N8" s="37"/>
      <c r="O8" s="37"/>
      <c r="P8" s="37"/>
      <c r="Q8" s="37"/>
      <c r="R8" s="37" t="s">
        <v>26</v>
      </c>
      <c r="S8" s="37"/>
      <c r="T8" s="37"/>
      <c r="U8" s="37"/>
      <c r="V8" s="1">
        <v>1</v>
      </c>
      <c r="W8" s="1" t="s">
        <v>277</v>
      </c>
      <c r="X8" s="38">
        <f>B8+D8+F8+H8+J8+L8</f>
        <v>110</v>
      </c>
      <c r="Y8" s="38">
        <v>0.29</v>
      </c>
      <c r="Z8" s="43">
        <f>X8*Y8</f>
        <v>31.9</v>
      </c>
      <c r="AB8" s="1">
        <v>1</v>
      </c>
      <c r="AD8" s="44" t="s">
        <v>48</v>
      </c>
      <c r="AE8" s="54">
        <f>SUM(M2:M995)</f>
        <v>505</v>
      </c>
      <c r="AF8" s="44"/>
      <c r="AG8" s="44" t="s">
        <v>11</v>
      </c>
      <c r="AH8" s="54">
        <f>AE8/$AE$5</f>
        <v>17.413793103448278</v>
      </c>
      <c r="AJ8" s="49" t="s">
        <v>269</v>
      </c>
      <c r="AK8" s="44">
        <f>COUNTA(O2:O50)</f>
        <v>3</v>
      </c>
    </row>
    <row r="9" spans="1:36" ht="12.75">
      <c r="A9" s="5">
        <v>42408</v>
      </c>
      <c r="C9" s="1">
        <f>B9*Y9</f>
        <v>0</v>
      </c>
      <c r="D9" s="1">
        <v>313</v>
      </c>
      <c r="E9" s="1">
        <f>D9*Y9</f>
        <v>90.77</v>
      </c>
      <c r="G9" s="1">
        <f>F9*Y9</f>
        <v>0</v>
      </c>
      <c r="H9" s="1">
        <v>300</v>
      </c>
      <c r="I9" s="1">
        <f>H9*Y9</f>
        <v>87</v>
      </c>
      <c r="K9" s="1">
        <f>J9*Y9</f>
        <v>0</v>
      </c>
      <c r="M9" s="1">
        <f>L9*Y9</f>
        <v>0</v>
      </c>
      <c r="N9" s="37"/>
      <c r="O9" s="37"/>
      <c r="P9" s="37"/>
      <c r="Q9" s="37"/>
      <c r="R9" s="37" t="s">
        <v>26</v>
      </c>
      <c r="S9" s="37"/>
      <c r="T9" s="37"/>
      <c r="U9" s="37"/>
      <c r="V9" s="1">
        <v>1</v>
      </c>
      <c r="W9" s="1" t="s">
        <v>277</v>
      </c>
      <c r="X9" s="38">
        <f>B9+D9+F9+H9+J9+L9</f>
        <v>613</v>
      </c>
      <c r="Y9" s="38">
        <v>0.29</v>
      </c>
      <c r="Z9" s="43">
        <f>X9*Y9</f>
        <v>177.76999999999998</v>
      </c>
      <c r="AB9" s="1">
        <v>1</v>
      </c>
      <c r="AD9" s="44" t="s">
        <v>50</v>
      </c>
      <c r="AE9" s="44">
        <f>SUM(C2:C995)</f>
        <v>84.726</v>
      </c>
      <c r="AF9" s="44"/>
      <c r="AG9" s="44" t="s">
        <v>1</v>
      </c>
      <c r="AH9" s="44">
        <f>AE9/$AE$5</f>
        <v>2.921586206896552</v>
      </c>
      <c r="AJ9" s="8"/>
    </row>
    <row r="10" spans="1:34" ht="12.75">
      <c r="A10" s="5">
        <v>42409</v>
      </c>
      <c r="C10" s="1">
        <f>B10*Y10</f>
        <v>0</v>
      </c>
      <c r="E10" s="1">
        <f>D10*Y10</f>
        <v>0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N10" s="37"/>
      <c r="O10" s="37"/>
      <c r="P10" s="37"/>
      <c r="Q10" s="37"/>
      <c r="R10" s="37" t="s">
        <v>26</v>
      </c>
      <c r="S10" s="37"/>
      <c r="T10" s="37"/>
      <c r="U10" s="37"/>
      <c r="W10" s="1" t="s">
        <v>277</v>
      </c>
      <c r="X10" s="38">
        <f>B10+D10+F10+H10+J10+L10</f>
        <v>0</v>
      </c>
      <c r="Y10" s="38">
        <v>0.29</v>
      </c>
      <c r="Z10" s="43">
        <f>X10*Y10</f>
        <v>0</v>
      </c>
      <c r="AB10" s="1">
        <v>1</v>
      </c>
      <c r="AD10" s="44" t="s">
        <v>51</v>
      </c>
      <c r="AE10" s="54">
        <f>SUM(E2:E995)</f>
        <v>908.8571000000001</v>
      </c>
      <c r="AF10" s="44"/>
      <c r="AG10" s="44" t="s">
        <v>52</v>
      </c>
      <c r="AH10" s="44">
        <f>AE10/$AE$5</f>
        <v>31.339900000000004</v>
      </c>
    </row>
    <row r="11" spans="1:34" ht="12.75">
      <c r="A11" s="5">
        <v>42410</v>
      </c>
      <c r="C11" s="1">
        <f>B11*Y11</f>
        <v>0</v>
      </c>
      <c r="D11" s="1">
        <v>156</v>
      </c>
      <c r="E11" s="1">
        <f>D11*Y11</f>
        <v>45.239999999999995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/>
      <c r="O11" s="37"/>
      <c r="P11" s="37"/>
      <c r="Q11" s="37"/>
      <c r="R11" s="37" t="s">
        <v>26</v>
      </c>
      <c r="S11" s="37"/>
      <c r="T11" s="37"/>
      <c r="U11" s="37"/>
      <c r="V11" s="1">
        <v>2</v>
      </c>
      <c r="W11" s="1" t="s">
        <v>277</v>
      </c>
      <c r="X11" s="38">
        <f>B11+D11+F11+H11+J11+L11</f>
        <v>156</v>
      </c>
      <c r="Y11" s="38">
        <v>0.29</v>
      </c>
      <c r="Z11" s="43">
        <f>X11*Y11</f>
        <v>45.239999999999995</v>
      </c>
      <c r="AB11" s="1">
        <v>1</v>
      </c>
      <c r="AD11" s="44" t="s">
        <v>54</v>
      </c>
      <c r="AE11" s="54">
        <f>SUM(G2:G995)</f>
        <v>0</v>
      </c>
      <c r="AF11" s="44"/>
      <c r="AG11" s="44" t="s">
        <v>55</v>
      </c>
      <c r="AH11" s="54">
        <f>AE11/$AE$5</f>
        <v>0</v>
      </c>
    </row>
    <row r="12" spans="1:34" ht="12.75">
      <c r="A12" s="5">
        <v>42411</v>
      </c>
      <c r="C12" s="1">
        <f>B12*Y12</f>
        <v>0</v>
      </c>
      <c r="D12" s="1">
        <v>40</v>
      </c>
      <c r="E12" s="1">
        <f>D12*Y12</f>
        <v>11.6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/>
      <c r="P12" s="37"/>
      <c r="Q12" s="37"/>
      <c r="R12" s="37" t="s">
        <v>26</v>
      </c>
      <c r="S12" s="37"/>
      <c r="T12" s="37"/>
      <c r="U12" s="37"/>
      <c r="W12" s="1" t="s">
        <v>277</v>
      </c>
      <c r="X12" s="38">
        <f>B12+D12+F12+H12+J12+L12</f>
        <v>40</v>
      </c>
      <c r="Y12" s="38">
        <v>0.29</v>
      </c>
      <c r="Z12" s="43">
        <f>X12*Y12</f>
        <v>11.6</v>
      </c>
      <c r="AB12" s="1">
        <v>1</v>
      </c>
      <c r="AD12" s="44" t="s">
        <v>57</v>
      </c>
      <c r="AE12" s="54">
        <f>SUM(K2:K995)</f>
        <v>28.419999999999998</v>
      </c>
      <c r="AF12" s="44"/>
      <c r="AG12" s="44" t="s">
        <v>9</v>
      </c>
      <c r="AH12" s="54">
        <f>AE12/$AE$5</f>
        <v>0.98</v>
      </c>
    </row>
    <row r="13" spans="1:34" ht="12.75">
      <c r="A13" s="5">
        <v>42412</v>
      </c>
      <c r="D13" s="1">
        <v>163</v>
      </c>
      <c r="E13" s="1">
        <f>D13*Y13</f>
        <v>47.269999999999996</v>
      </c>
      <c r="G13" s="1">
        <f>F13*Y13</f>
        <v>0</v>
      </c>
      <c r="I13" s="1">
        <f>H13*Y13</f>
        <v>0</v>
      </c>
      <c r="K13" s="1">
        <f>J13*Y13</f>
        <v>0</v>
      </c>
      <c r="M13" s="1">
        <f>L13*Y13</f>
        <v>0</v>
      </c>
      <c r="N13" s="37"/>
      <c r="O13" s="37"/>
      <c r="P13" s="37"/>
      <c r="Q13" s="37"/>
      <c r="R13" s="37" t="s">
        <v>26</v>
      </c>
      <c r="S13" s="37"/>
      <c r="T13" s="37"/>
      <c r="U13" s="37"/>
      <c r="V13" s="1">
        <v>1</v>
      </c>
      <c r="W13" s="1" t="s">
        <v>278</v>
      </c>
      <c r="X13" s="38">
        <f>B13+D13+F13+H13+J13+L13</f>
        <v>163</v>
      </c>
      <c r="Y13" s="38">
        <v>0.29</v>
      </c>
      <c r="Z13" s="43">
        <f>X13*Y13</f>
        <v>47.269999999999996</v>
      </c>
      <c r="AB13" s="1">
        <v>1</v>
      </c>
      <c r="AD13" s="44" t="s">
        <v>58</v>
      </c>
      <c r="AE13" s="44">
        <f>SUM(I2:I995)</f>
        <v>87</v>
      </c>
      <c r="AF13" s="44"/>
      <c r="AG13" s="44" t="s">
        <v>7</v>
      </c>
      <c r="AH13" s="54">
        <f>AE13/$AE$5</f>
        <v>3</v>
      </c>
    </row>
    <row r="14" spans="1:28" ht="12.75">
      <c r="A14" s="5">
        <v>42413</v>
      </c>
      <c r="C14" s="1">
        <f>B14*Y14</f>
        <v>0</v>
      </c>
      <c r="D14" s="1">
        <f>45+15+48+95</f>
        <v>203</v>
      </c>
      <c r="E14" s="1">
        <f>D14*Y14</f>
        <v>58.87</v>
      </c>
      <c r="G14" s="1">
        <f>F14*Y14</f>
        <v>0</v>
      </c>
      <c r="I14" s="1">
        <f>H14*Y14</f>
        <v>0</v>
      </c>
      <c r="K14" s="1">
        <f>J14*Y14</f>
        <v>0</v>
      </c>
      <c r="M14" s="1">
        <f>L14*Y14</f>
        <v>0</v>
      </c>
      <c r="N14" s="37"/>
      <c r="O14" s="37"/>
      <c r="P14" s="37"/>
      <c r="Q14" s="37"/>
      <c r="R14" s="37" t="s">
        <v>26</v>
      </c>
      <c r="S14" s="37"/>
      <c r="T14" s="37"/>
      <c r="U14" s="37"/>
      <c r="W14" s="1" t="s">
        <v>278</v>
      </c>
      <c r="X14" s="38">
        <f>B14+D14+F14+H14+J14+L14</f>
        <v>203</v>
      </c>
      <c r="Y14" s="38">
        <v>0.29</v>
      </c>
      <c r="Z14" s="43">
        <f>X14*Y14</f>
        <v>58.87</v>
      </c>
      <c r="AB14" s="1">
        <v>1</v>
      </c>
    </row>
    <row r="15" spans="1:31" ht="12.75">
      <c r="A15" s="5">
        <v>42414</v>
      </c>
      <c r="C15" s="1">
        <f>B15*Y15</f>
        <v>0</v>
      </c>
      <c r="D15" s="1">
        <v>140</v>
      </c>
      <c r="E15" s="1">
        <f>D15*Y15</f>
        <v>40.599999999999994</v>
      </c>
      <c r="G15" s="1">
        <f>F15*Y15</f>
        <v>0</v>
      </c>
      <c r="I15" s="1">
        <f>H15*Y15</f>
        <v>0</v>
      </c>
      <c r="K15" s="1">
        <f>J15*Y15</f>
        <v>0</v>
      </c>
      <c r="M15" s="1">
        <f>L15*Y15</f>
        <v>0</v>
      </c>
      <c r="N15" s="37"/>
      <c r="O15" s="37"/>
      <c r="P15" s="37"/>
      <c r="Q15" s="37"/>
      <c r="R15" s="37" t="s">
        <v>26</v>
      </c>
      <c r="S15" s="37"/>
      <c r="T15" s="37"/>
      <c r="U15" s="37"/>
      <c r="W15" s="1" t="s">
        <v>278</v>
      </c>
      <c r="X15" s="38">
        <f>B15+D15+F15+H15+J15+L15</f>
        <v>140</v>
      </c>
      <c r="Y15" s="38">
        <v>0.29</v>
      </c>
      <c r="Z15" s="43">
        <f>X15*Y15</f>
        <v>40.599999999999994</v>
      </c>
      <c r="AB15" s="1">
        <v>1</v>
      </c>
      <c r="AD15" s="8"/>
      <c r="AE15" s="8"/>
    </row>
    <row r="16" spans="1:30" ht="12.75">
      <c r="A16" s="5">
        <v>42415</v>
      </c>
      <c r="C16" s="1">
        <f>B16*Y16</f>
        <v>0</v>
      </c>
      <c r="D16" s="1">
        <v>241</v>
      </c>
      <c r="E16" s="1">
        <f>D16*Y16</f>
        <v>69.89</v>
      </c>
      <c r="G16" s="1">
        <f>F16*Y16</f>
        <v>0</v>
      </c>
      <c r="I16" s="1">
        <f>H16*Y16</f>
        <v>0</v>
      </c>
      <c r="K16" s="1">
        <f>J16*Y16</f>
        <v>0</v>
      </c>
      <c r="M16" s="1">
        <f>L16*Y16</f>
        <v>0</v>
      </c>
      <c r="N16" s="37"/>
      <c r="O16" s="37"/>
      <c r="P16" s="37"/>
      <c r="Q16" s="37"/>
      <c r="R16" s="37" t="s">
        <v>26</v>
      </c>
      <c r="S16" s="37"/>
      <c r="T16" s="37"/>
      <c r="U16" s="37"/>
      <c r="W16" s="1" t="s">
        <v>278</v>
      </c>
      <c r="X16" s="38">
        <f>B16+D16+F16+H16+J16+L16</f>
        <v>241</v>
      </c>
      <c r="Y16" s="38">
        <v>0.29</v>
      </c>
      <c r="Z16" s="43">
        <f>X16*Y16</f>
        <v>69.89</v>
      </c>
      <c r="AB16" s="1">
        <v>1</v>
      </c>
      <c r="AD16" s="8"/>
    </row>
    <row r="17" spans="1:28" ht="12.75">
      <c r="A17" s="5">
        <v>42416</v>
      </c>
      <c r="C17" s="1">
        <f>B17*Y17</f>
        <v>0</v>
      </c>
      <c r="D17" s="1">
        <f>16+30+24</f>
        <v>70</v>
      </c>
      <c r="E17" s="1">
        <f>D17*Y17</f>
        <v>20.299999999999997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N17" s="37"/>
      <c r="O17" s="37"/>
      <c r="P17" s="37"/>
      <c r="Q17" s="37"/>
      <c r="R17" s="37" t="s">
        <v>26</v>
      </c>
      <c r="S17" s="37"/>
      <c r="T17" s="37"/>
      <c r="U17" s="37"/>
      <c r="W17" s="1" t="s">
        <v>278</v>
      </c>
      <c r="X17" s="38">
        <f>B17+D17+F17+H17+J17+L17</f>
        <v>70</v>
      </c>
      <c r="Y17" s="38">
        <v>0.29</v>
      </c>
      <c r="Z17" s="43">
        <f>X17*Y17</f>
        <v>20.299999999999997</v>
      </c>
      <c r="AB17" s="1">
        <v>1</v>
      </c>
    </row>
    <row r="18" spans="1:28" ht="12.75">
      <c r="A18" s="5">
        <v>42417</v>
      </c>
      <c r="C18" s="1">
        <f>B18*Y18</f>
        <v>0</v>
      </c>
      <c r="D18" s="1">
        <v>45</v>
      </c>
      <c r="E18" s="1">
        <f>D18*Y18</f>
        <v>13.049999999999999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N18" s="37"/>
      <c r="O18" s="37"/>
      <c r="P18" s="37"/>
      <c r="Q18" s="37"/>
      <c r="R18" s="37" t="s">
        <v>26</v>
      </c>
      <c r="S18" s="37"/>
      <c r="T18" s="37"/>
      <c r="U18" s="37"/>
      <c r="W18" s="1" t="s">
        <v>278</v>
      </c>
      <c r="X18" s="38">
        <f>B18+D18+F18+H18+J18+L18</f>
        <v>45</v>
      </c>
      <c r="Y18" s="38">
        <v>0.29</v>
      </c>
      <c r="Z18" s="43">
        <f>X18*Y18</f>
        <v>13.049999999999999</v>
      </c>
      <c r="AB18" s="1">
        <v>1</v>
      </c>
    </row>
    <row r="19" spans="1:28" ht="12.75">
      <c r="A19" s="5">
        <v>42418</v>
      </c>
      <c r="C19" s="1">
        <f>B19*Y19</f>
        <v>0</v>
      </c>
      <c r="D19" s="1">
        <f>173+110</f>
        <v>283</v>
      </c>
      <c r="E19" s="1">
        <f>D19*Y19</f>
        <v>82.07</v>
      </c>
      <c r="G19" s="1">
        <f>F19*Y19</f>
        <v>0</v>
      </c>
      <c r="I19" s="1">
        <f>H19*Y19</f>
        <v>0</v>
      </c>
      <c r="K19" s="1">
        <f>J19*Y19</f>
        <v>0</v>
      </c>
      <c r="M19" s="1">
        <f>L19*Y19</f>
        <v>0</v>
      </c>
      <c r="N19" s="37"/>
      <c r="O19" s="37"/>
      <c r="P19" s="37"/>
      <c r="Q19" s="37"/>
      <c r="R19" s="37" t="s">
        <v>26</v>
      </c>
      <c r="S19" s="37"/>
      <c r="T19" s="37"/>
      <c r="U19" s="37"/>
      <c r="W19" s="1" t="s">
        <v>278</v>
      </c>
      <c r="X19" s="38">
        <f>B19+D19+F19+H19+J19+L19</f>
        <v>283</v>
      </c>
      <c r="Y19" s="38">
        <v>0.29</v>
      </c>
      <c r="Z19" s="43">
        <f>X19*Y19</f>
        <v>82.07</v>
      </c>
      <c r="AB19" s="1">
        <v>1</v>
      </c>
    </row>
    <row r="20" spans="1:28" ht="12.75">
      <c r="A20" s="5">
        <v>42419</v>
      </c>
      <c r="C20" s="1">
        <f>B20*Y20</f>
        <v>0</v>
      </c>
      <c r="D20" s="1">
        <f>28+43+32</f>
        <v>103</v>
      </c>
      <c r="E20" s="1">
        <f>D20*Y20</f>
        <v>29.869999999999997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/>
      <c r="Q20" s="37"/>
      <c r="R20" s="37" t="s">
        <v>26</v>
      </c>
      <c r="S20" s="37"/>
      <c r="T20" s="37"/>
      <c r="U20" s="37"/>
      <c r="W20" s="1" t="s">
        <v>278</v>
      </c>
      <c r="X20" s="38">
        <f>B20+D20+F20+H20+J20+L20</f>
        <v>103</v>
      </c>
      <c r="Y20" s="38">
        <v>0.29</v>
      </c>
      <c r="Z20" s="43">
        <f>X20*Y20</f>
        <v>29.869999999999997</v>
      </c>
      <c r="AB20" s="1">
        <v>1</v>
      </c>
    </row>
    <row r="21" spans="1:28" ht="12.75">
      <c r="A21" s="5">
        <v>42420</v>
      </c>
      <c r="C21" s="1">
        <f>B21*Y21</f>
        <v>0</v>
      </c>
      <c r="D21" s="1">
        <f>55+76+15</f>
        <v>146</v>
      </c>
      <c r="E21" s="1">
        <f>D21*Y21</f>
        <v>42.339999999999996</v>
      </c>
      <c r="G21" s="1">
        <f>F21*Y21</f>
        <v>0</v>
      </c>
      <c r="I21" s="1">
        <f>H21*Y21</f>
        <v>0</v>
      </c>
      <c r="J21" s="1">
        <v>98</v>
      </c>
      <c r="K21" s="1">
        <f>J21*Y21</f>
        <v>28.419999999999998</v>
      </c>
      <c r="M21" s="1">
        <f>L21*Y21</f>
        <v>0</v>
      </c>
      <c r="N21" s="37"/>
      <c r="O21" s="37"/>
      <c r="P21" s="37"/>
      <c r="Q21" s="37"/>
      <c r="R21" s="37" t="s">
        <v>26</v>
      </c>
      <c r="S21" s="37"/>
      <c r="T21" s="37"/>
      <c r="U21" s="37"/>
      <c r="W21" s="1" t="s">
        <v>278</v>
      </c>
      <c r="X21" s="38">
        <f>B21+D21+F21+H21+J21+L21</f>
        <v>244</v>
      </c>
      <c r="Y21" s="38">
        <v>0.29</v>
      </c>
      <c r="Z21" s="43">
        <f>X21*Y21</f>
        <v>70.75999999999999</v>
      </c>
      <c r="AB21" s="1">
        <v>1</v>
      </c>
    </row>
    <row r="22" spans="1:28" ht="12.75">
      <c r="A22" s="5">
        <v>42421</v>
      </c>
      <c r="C22" s="1">
        <f>B22*Y22</f>
        <v>0</v>
      </c>
      <c r="D22" s="1">
        <v>41</v>
      </c>
      <c r="E22" s="1">
        <f>D22*Y22</f>
        <v>11.889999999999999</v>
      </c>
      <c r="G22" s="1">
        <f>F22*Y22</f>
        <v>0</v>
      </c>
      <c r="I22" s="1">
        <f>H22*Y22</f>
        <v>0</v>
      </c>
      <c r="K22" s="1">
        <f>J22*Y22</f>
        <v>0</v>
      </c>
      <c r="M22" s="1">
        <f>L22*Y22</f>
        <v>0</v>
      </c>
      <c r="N22" s="37"/>
      <c r="O22" s="37"/>
      <c r="P22" s="37"/>
      <c r="Q22" s="37"/>
      <c r="R22" s="37" t="s">
        <v>26</v>
      </c>
      <c r="S22" s="37"/>
      <c r="T22" s="37"/>
      <c r="U22" s="37"/>
      <c r="W22" s="1" t="s">
        <v>278</v>
      </c>
      <c r="X22" s="38">
        <f>B22+D22+F22+H22+J22+L22</f>
        <v>41</v>
      </c>
      <c r="Y22" s="38">
        <v>0.29</v>
      </c>
      <c r="Z22" s="43">
        <f>X22*Y22</f>
        <v>11.889999999999999</v>
      </c>
      <c r="AB22" s="1">
        <v>1</v>
      </c>
    </row>
    <row r="23" spans="1:28" ht="12.75">
      <c r="A23" s="5">
        <v>42422</v>
      </c>
      <c r="C23" s="1">
        <f>B23*Y23</f>
        <v>0</v>
      </c>
      <c r="E23" s="1">
        <f>D23*Y23</f>
        <v>0</v>
      </c>
      <c r="G23" s="1">
        <f>F23*Y23</f>
        <v>0</v>
      </c>
      <c r="I23" s="1">
        <f>H23*Y23</f>
        <v>0</v>
      </c>
      <c r="K23" s="1">
        <f>J23*Y23</f>
        <v>0</v>
      </c>
      <c r="M23" s="1">
        <f>L23*Y23</f>
        <v>0</v>
      </c>
      <c r="N23" s="37"/>
      <c r="O23" s="37"/>
      <c r="P23" s="37"/>
      <c r="Q23" s="37"/>
      <c r="R23" s="37" t="s">
        <v>26</v>
      </c>
      <c r="S23" s="37"/>
      <c r="T23" s="37"/>
      <c r="U23" s="37"/>
      <c r="W23" s="1" t="s">
        <v>278</v>
      </c>
      <c r="X23" s="38">
        <f>B23+D23+F23+H23+J23+L23</f>
        <v>0</v>
      </c>
      <c r="Y23" s="38">
        <v>0.29</v>
      </c>
      <c r="Z23" s="43">
        <f>X23*Y23</f>
        <v>0</v>
      </c>
      <c r="AB23" s="1">
        <v>1</v>
      </c>
    </row>
    <row r="24" spans="1:28" ht="12.75">
      <c r="A24" s="5">
        <v>42423</v>
      </c>
      <c r="C24" s="1">
        <f>B24*Y24</f>
        <v>0</v>
      </c>
      <c r="E24" s="1">
        <f>D24*Y24</f>
        <v>0</v>
      </c>
      <c r="G24" s="1">
        <f>F24*Y24</f>
        <v>0</v>
      </c>
      <c r="I24" s="1">
        <f>H24*Y24</f>
        <v>0</v>
      </c>
      <c r="K24" s="1">
        <f>J24*Y24</f>
        <v>0</v>
      </c>
      <c r="M24" s="1">
        <f>L24*Y24</f>
        <v>0</v>
      </c>
      <c r="N24" s="37"/>
      <c r="O24" s="37" t="s">
        <v>26</v>
      </c>
      <c r="P24" s="37"/>
      <c r="Q24" s="37"/>
      <c r="R24" s="37"/>
      <c r="S24" s="37"/>
      <c r="T24" s="37"/>
      <c r="U24" s="37"/>
      <c r="V24" s="1">
        <v>3</v>
      </c>
      <c r="W24" s="1" t="s">
        <v>279</v>
      </c>
      <c r="X24" s="38">
        <f>B24+D24+F24+H24+J24+L24</f>
        <v>0</v>
      </c>
      <c r="Y24" s="38">
        <v>0.29</v>
      </c>
      <c r="Z24" s="43">
        <f>X24*Y24</f>
        <v>0</v>
      </c>
      <c r="AB24" s="1">
        <v>1</v>
      </c>
    </row>
    <row r="25" spans="1:28" ht="12.75">
      <c r="A25" s="5">
        <v>42424</v>
      </c>
      <c r="C25" s="1">
        <f>B25*Y25</f>
        <v>0</v>
      </c>
      <c r="D25" s="1">
        <v>193</v>
      </c>
      <c r="E25" s="1">
        <f>D25*Y25</f>
        <v>55.97</v>
      </c>
      <c r="G25" s="1">
        <f>F25*Y25</f>
        <v>0</v>
      </c>
      <c r="I25" s="1">
        <f>H25*Y25</f>
        <v>0</v>
      </c>
      <c r="K25" s="1">
        <f>J25*Y25</f>
        <v>0</v>
      </c>
      <c r="L25" s="1">
        <v>160</v>
      </c>
      <c r="M25" s="1">
        <f>L25*Y25</f>
        <v>46.4</v>
      </c>
      <c r="N25" s="37" t="s">
        <v>26</v>
      </c>
      <c r="O25" s="37"/>
      <c r="P25" s="37"/>
      <c r="Q25" s="37"/>
      <c r="R25" s="37"/>
      <c r="S25" s="37"/>
      <c r="T25" s="37"/>
      <c r="U25" s="37"/>
      <c r="V25" s="1">
        <v>1</v>
      </c>
      <c r="W25" s="1" t="s">
        <v>280</v>
      </c>
      <c r="X25" s="38">
        <f>B25+D25+F25+H25+J25+L25</f>
        <v>353</v>
      </c>
      <c r="Y25" s="38">
        <v>0.29</v>
      </c>
      <c r="Z25" s="43">
        <f>X25*Y25</f>
        <v>102.36999999999999</v>
      </c>
      <c r="AB25" s="1">
        <v>1</v>
      </c>
    </row>
    <row r="26" spans="1:28" ht="12.75">
      <c r="A26" s="5">
        <v>42425</v>
      </c>
      <c r="C26" s="1">
        <f>B26*Y26</f>
        <v>0</v>
      </c>
      <c r="D26" s="1">
        <f>30+32+72</f>
        <v>134</v>
      </c>
      <c r="E26" s="1">
        <f>D26*Y26</f>
        <v>38.86</v>
      </c>
      <c r="G26" s="1">
        <f>F26*Y26</f>
        <v>0</v>
      </c>
      <c r="I26" s="1">
        <f>H26*Y26</f>
        <v>0</v>
      </c>
      <c r="K26" s="1">
        <f>J26*Y26</f>
        <v>0</v>
      </c>
      <c r="L26" s="1">
        <v>160</v>
      </c>
      <c r="M26" s="1">
        <f>L26*Y26</f>
        <v>46.4</v>
      </c>
      <c r="N26" s="37" t="s">
        <v>26</v>
      </c>
      <c r="O26" s="37"/>
      <c r="P26" s="37"/>
      <c r="Q26" s="37"/>
      <c r="R26" s="37"/>
      <c r="S26" s="37"/>
      <c r="T26" s="37"/>
      <c r="U26" s="37"/>
      <c r="W26" s="1" t="s">
        <v>280</v>
      </c>
      <c r="X26" s="38">
        <f>B26+D26+F26+H26+J26+L26</f>
        <v>294</v>
      </c>
      <c r="Y26" s="38">
        <v>0.29</v>
      </c>
      <c r="Z26" s="43">
        <f>X26*Y26</f>
        <v>85.25999999999999</v>
      </c>
      <c r="AB26" s="1">
        <v>1</v>
      </c>
    </row>
    <row r="27" spans="1:28" ht="12.75">
      <c r="A27" s="5">
        <v>42426</v>
      </c>
      <c r="C27" s="1">
        <f>B27*Y27</f>
        <v>0</v>
      </c>
      <c r="D27" s="1">
        <v>60</v>
      </c>
      <c r="E27" s="1">
        <f>D27*Y27</f>
        <v>17.4</v>
      </c>
      <c r="G27" s="1">
        <f>F27*Y27</f>
        <v>0</v>
      </c>
      <c r="I27" s="1">
        <f>H27*Y27</f>
        <v>0</v>
      </c>
      <c r="K27" s="1">
        <f>J27*Y27</f>
        <v>0</v>
      </c>
      <c r="L27" s="1">
        <v>300</v>
      </c>
      <c r="M27" s="1">
        <f>L27*Y27</f>
        <v>87</v>
      </c>
      <c r="N27" s="37"/>
      <c r="O27" s="37"/>
      <c r="P27" s="37" t="s">
        <v>26</v>
      </c>
      <c r="Q27" s="37"/>
      <c r="R27" s="37"/>
      <c r="S27" s="37"/>
      <c r="T27" s="37"/>
      <c r="U27" s="37"/>
      <c r="V27" s="1">
        <v>3</v>
      </c>
      <c r="W27" s="1" t="s">
        <v>281</v>
      </c>
      <c r="X27" s="38">
        <f>B27+D27+F27+H27+J27+L27</f>
        <v>360</v>
      </c>
      <c r="Y27" s="38">
        <v>0.29</v>
      </c>
      <c r="Z27" s="43">
        <f>X27*Y27</f>
        <v>104.39999999999999</v>
      </c>
      <c r="AB27" s="1">
        <v>1</v>
      </c>
    </row>
    <row r="28" spans="1:28" ht="12.75">
      <c r="A28" s="5">
        <v>42427</v>
      </c>
      <c r="C28" s="1">
        <f>B28*Y28</f>
        <v>0</v>
      </c>
      <c r="D28" s="1">
        <v>84</v>
      </c>
      <c r="E28" s="1">
        <f>D28*Y28</f>
        <v>24.36</v>
      </c>
      <c r="G28" s="1">
        <f>F28*Y28</f>
        <v>0</v>
      </c>
      <c r="I28" s="1">
        <f>H28*Y28</f>
        <v>0</v>
      </c>
      <c r="K28" s="1">
        <f>J28*Y28</f>
        <v>0</v>
      </c>
      <c r="M28" s="1">
        <f>L28*Y28</f>
        <v>0</v>
      </c>
      <c r="N28" s="37"/>
      <c r="O28" s="37" t="s">
        <v>26</v>
      </c>
      <c r="P28" s="37"/>
      <c r="Q28" s="37"/>
      <c r="R28" s="37"/>
      <c r="S28" s="37"/>
      <c r="T28" s="37"/>
      <c r="U28" s="37"/>
      <c r="V28" s="1">
        <v>2</v>
      </c>
      <c r="W28" s="1" t="s">
        <v>282</v>
      </c>
      <c r="X28" s="38">
        <f>B28+D28+F28+H28+J28+L28</f>
        <v>84</v>
      </c>
      <c r="Y28" s="38">
        <v>0.29</v>
      </c>
      <c r="Z28" s="43">
        <f>X28*Y28</f>
        <v>24.36</v>
      </c>
      <c r="AB28" s="1">
        <v>1</v>
      </c>
    </row>
    <row r="29" spans="1:28" ht="12.75">
      <c r="A29" s="5">
        <v>42428</v>
      </c>
      <c r="C29" s="1">
        <f>B29*Y29</f>
        <v>0</v>
      </c>
      <c r="D29" s="1">
        <v>36</v>
      </c>
      <c r="E29" s="1">
        <f>D29*Y29</f>
        <v>10.44</v>
      </c>
      <c r="G29" s="1">
        <f>F29*Y29</f>
        <v>0</v>
      </c>
      <c r="I29" s="1">
        <f>H29*Y29</f>
        <v>0</v>
      </c>
      <c r="K29" s="1">
        <f>J29*Y29</f>
        <v>0</v>
      </c>
      <c r="L29" s="1">
        <v>140</v>
      </c>
      <c r="M29" s="1">
        <f>L29*Y29</f>
        <v>40.599999999999994</v>
      </c>
      <c r="N29" s="37" t="s">
        <v>26</v>
      </c>
      <c r="O29" s="37"/>
      <c r="P29" s="37"/>
      <c r="Q29" s="37"/>
      <c r="R29" s="37"/>
      <c r="S29" s="37"/>
      <c r="T29" s="37"/>
      <c r="U29" s="37"/>
      <c r="V29" s="1">
        <v>4</v>
      </c>
      <c r="W29" s="1" t="s">
        <v>283</v>
      </c>
      <c r="X29" s="38">
        <f>B29+D29+F29+H29+J29+L29</f>
        <v>176</v>
      </c>
      <c r="Y29" s="38">
        <v>0.29</v>
      </c>
      <c r="Z29" s="43">
        <f>X29*Y29</f>
        <v>51.04</v>
      </c>
      <c r="AB29" s="1">
        <v>1</v>
      </c>
    </row>
    <row r="30" spans="1:28" ht="12.75">
      <c r="A30" s="5">
        <v>42429</v>
      </c>
      <c r="C30" s="1">
        <f>B30*Y30</f>
        <v>0</v>
      </c>
      <c r="D30" s="1">
        <f>10+73+12+25</f>
        <v>120</v>
      </c>
      <c r="E30" s="1">
        <f>D30*Y30</f>
        <v>34.8</v>
      </c>
      <c r="G30" s="1">
        <f>F30*Y30</f>
        <v>0</v>
      </c>
      <c r="I30" s="1">
        <f>H30*Y30</f>
        <v>0</v>
      </c>
      <c r="K30" s="1">
        <f>J30*Y30</f>
        <v>0</v>
      </c>
      <c r="L30" s="1">
        <v>140</v>
      </c>
      <c r="M30" s="1">
        <f>L30*Y30</f>
        <v>40.599999999999994</v>
      </c>
      <c r="N30" s="37" t="s">
        <v>26</v>
      </c>
      <c r="O30" s="37"/>
      <c r="P30" s="37"/>
      <c r="Q30" s="37"/>
      <c r="R30" s="37"/>
      <c r="S30" s="37"/>
      <c r="T30" s="37"/>
      <c r="U30" s="37"/>
      <c r="W30" s="1" t="s">
        <v>284</v>
      </c>
      <c r="X30" s="38">
        <f>B30+D30+F30+H30+J30+L30</f>
        <v>260</v>
      </c>
      <c r="Y30" s="38">
        <v>0.29</v>
      </c>
      <c r="Z30" s="43">
        <f>X30*Y30</f>
        <v>75.39999999999999</v>
      </c>
      <c r="AB30" s="1">
        <v>1</v>
      </c>
    </row>
    <row r="31" spans="1:28" ht="12.75">
      <c r="A31" s="5"/>
      <c r="C31" s="1">
        <f>B31*Y31</f>
        <v>0</v>
      </c>
      <c r="E31" s="1">
        <f>D31*Y31</f>
        <v>0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X31" s="1">
        <f>B31+D31+F31+H31+J31+L31</f>
        <v>0</v>
      </c>
      <c r="Y31" s="1">
        <v>0.29</v>
      </c>
      <c r="Z31" s="2">
        <f>X31*Y31</f>
        <v>0</v>
      </c>
      <c r="AB31" s="1">
        <v>1</v>
      </c>
    </row>
    <row r="32" spans="1:28" ht="12.75">
      <c r="A32" s="5"/>
      <c r="C32" s="1">
        <f>B32*Y32</f>
        <v>0</v>
      </c>
      <c r="G32" s="1">
        <f>F32*Y32</f>
        <v>0</v>
      </c>
      <c r="I32" s="1">
        <f>H32*Y32</f>
        <v>0</v>
      </c>
      <c r="K32" s="1">
        <f>J32*Y32</f>
        <v>0</v>
      </c>
      <c r="M32" s="1">
        <f>L32*Y32</f>
        <v>0</v>
      </c>
      <c r="X32" s="1">
        <f>B32+D32+F32+H32+J32+L32</f>
        <v>0</v>
      </c>
      <c r="Y32" s="1">
        <v>0.29</v>
      </c>
      <c r="Z32" s="2">
        <f>X32*Y32</f>
        <v>0</v>
      </c>
      <c r="AB32" s="1">
        <v>1</v>
      </c>
    </row>
    <row r="33" spans="1:28" ht="12.75">
      <c r="A33" s="5"/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0.29</v>
      </c>
      <c r="Z33" s="2">
        <f>X33*Y33</f>
        <v>0</v>
      </c>
      <c r="AB33" s="1">
        <v>1</v>
      </c>
    </row>
    <row r="34" spans="3:28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0.29</v>
      </c>
      <c r="Z34" s="2">
        <f>X34*Y34</f>
        <v>0</v>
      </c>
      <c r="AB34" s="1">
        <v>1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0.29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0.29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0.29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0.0061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0.0061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0.0061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0.0061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0.0061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0.0061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0.0061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0.0061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M78" s="1">
        <f>L78*Y78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E1">
      <selection activeCell="E17" sqref="E17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6.281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42430</v>
      </c>
      <c r="C2" s="1">
        <f>B2*Y2</f>
        <v>0</v>
      </c>
      <c r="D2" s="1">
        <f>72+25+30</f>
        <v>127</v>
      </c>
      <c r="E2" s="1">
        <f>D2*Y2</f>
        <v>34.29</v>
      </c>
      <c r="G2" s="1">
        <f>F2*Y2</f>
        <v>0</v>
      </c>
      <c r="I2" s="1">
        <f>H2*Y2</f>
        <v>0</v>
      </c>
      <c r="J2" s="1">
        <v>22</v>
      </c>
      <c r="K2" s="1">
        <f>J2*Y2</f>
        <v>5.94</v>
      </c>
      <c r="L2" s="37">
        <v>140</v>
      </c>
      <c r="M2" s="37">
        <f>L2*Y2</f>
        <v>37.800000000000004</v>
      </c>
      <c r="N2" s="37" t="s">
        <v>26</v>
      </c>
      <c r="O2" s="37"/>
      <c r="P2" s="37"/>
      <c r="Q2" s="37"/>
      <c r="R2" s="37"/>
      <c r="S2" s="37"/>
      <c r="T2" s="37"/>
      <c r="U2" s="37"/>
      <c r="W2" s="1" t="s">
        <v>285</v>
      </c>
      <c r="X2" s="38">
        <f>B2+D2+F2+H2+J2+L2</f>
        <v>289</v>
      </c>
      <c r="Y2" s="38">
        <v>0.27</v>
      </c>
      <c r="Z2" s="43">
        <f>X2*Y2</f>
        <v>78.03</v>
      </c>
      <c r="AB2" s="1">
        <v>1</v>
      </c>
      <c r="AD2" s="44" t="s">
        <v>28</v>
      </c>
      <c r="AE2" s="44">
        <f>SUM(Z2:Z995)</f>
        <v>1987.1209573999997</v>
      </c>
      <c r="AF2" s="44"/>
      <c r="AG2" s="44" t="s">
        <v>29</v>
      </c>
      <c r="AH2" s="58">
        <f>AE2/AE5</f>
        <v>64.10067604516128</v>
      </c>
      <c r="AJ2" s="44" t="s">
        <v>93</v>
      </c>
      <c r="AK2" s="44">
        <f>COUNTBLANK(L2:L41)-COUNTBLANK(A2:A41)</f>
        <v>25</v>
      </c>
      <c r="AL2" s="7"/>
      <c r="AM2" s="59" t="s">
        <v>31</v>
      </c>
      <c r="AN2" s="59">
        <f>SUMIF(AB2:AB45,"=1",Z2:Z45)</f>
        <v>184.14000000000001</v>
      </c>
      <c r="AO2" s="7"/>
      <c r="AP2" s="59" t="s">
        <v>32</v>
      </c>
      <c r="AQ2" s="59">
        <f>SUMIF(AB2:AB45,"=2",Z2:Z45)</f>
        <v>1802.9809574</v>
      </c>
    </row>
    <row r="3" spans="1:43" ht="12.75">
      <c r="A3" s="5">
        <v>42431</v>
      </c>
      <c r="C3" s="1">
        <f>B3*Y3</f>
        <v>0</v>
      </c>
      <c r="D3" s="1">
        <v>53</v>
      </c>
      <c r="E3" s="1">
        <f>D3*Y3</f>
        <v>14.31</v>
      </c>
      <c r="G3" s="1">
        <f>F3*Y3</f>
        <v>0</v>
      </c>
      <c r="I3" s="1">
        <f>H3*Y3</f>
        <v>0</v>
      </c>
      <c r="K3" s="1">
        <f>J3*Y3</f>
        <v>0</v>
      </c>
      <c r="L3" s="37">
        <v>140</v>
      </c>
      <c r="M3" s="37">
        <f>L3*Y3</f>
        <v>37.800000000000004</v>
      </c>
      <c r="N3" s="37" t="s">
        <v>26</v>
      </c>
      <c r="O3" s="37"/>
      <c r="P3" s="37"/>
      <c r="Q3" s="37"/>
      <c r="R3" s="37"/>
      <c r="S3" s="37"/>
      <c r="T3" s="37"/>
      <c r="U3" s="37"/>
      <c r="W3" s="1" t="s">
        <v>285</v>
      </c>
      <c r="X3" s="38">
        <f>B3+D3+F3+H3+J3+L3</f>
        <v>193</v>
      </c>
      <c r="Y3" s="38">
        <v>0.27</v>
      </c>
      <c r="Z3" s="43">
        <f>X3*Y3</f>
        <v>52.11000000000001</v>
      </c>
      <c r="AB3" s="1">
        <v>1</v>
      </c>
      <c r="AD3" s="49"/>
      <c r="AE3" s="44"/>
      <c r="AF3" s="44"/>
      <c r="AG3" s="49"/>
      <c r="AH3" s="45"/>
      <c r="AJ3" s="44" t="s">
        <v>95</v>
      </c>
      <c r="AK3" s="44">
        <f>COUNT(L2:L37)</f>
        <v>6</v>
      </c>
      <c r="AM3" s="59" t="s">
        <v>35</v>
      </c>
      <c r="AN3" s="59">
        <f>_xlfn.COUNTIFS(A2:A45,"&lt;&gt;''",AB2:AB45,"=1")</f>
        <v>4</v>
      </c>
      <c r="AO3" s="7"/>
      <c r="AP3" s="59" t="s">
        <v>36</v>
      </c>
      <c r="AQ3" s="59">
        <f>_xlfn.COUNTIFS(A2:A45,"&lt;&gt;''",AB2:AB45,"=2")</f>
        <v>27</v>
      </c>
    </row>
    <row r="4" spans="1:43" ht="12.75">
      <c r="A4" s="5">
        <v>42432</v>
      </c>
      <c r="C4" s="1">
        <f>B4*Y4</f>
        <v>0</v>
      </c>
      <c r="E4" s="1">
        <f>D4*Y4</f>
        <v>0</v>
      </c>
      <c r="G4" s="1">
        <f>F4*Y4</f>
        <v>0</v>
      </c>
      <c r="I4" s="1">
        <f>H4*Y4</f>
        <v>0</v>
      </c>
      <c r="K4" s="1">
        <f>J4*Y4</f>
        <v>0</v>
      </c>
      <c r="L4" s="37"/>
      <c r="M4" s="37">
        <f>L4*Y4</f>
        <v>0</v>
      </c>
      <c r="N4" s="37"/>
      <c r="O4" s="37"/>
      <c r="P4" s="37"/>
      <c r="Q4" s="37"/>
      <c r="R4" s="37" t="s">
        <v>26</v>
      </c>
      <c r="S4" s="37"/>
      <c r="T4" s="37"/>
      <c r="U4" s="37"/>
      <c r="V4" s="1">
        <v>3</v>
      </c>
      <c r="W4" s="1" t="s">
        <v>286</v>
      </c>
      <c r="X4" s="38">
        <f>B4+D4+F4+H4+J4+L4</f>
        <v>0</v>
      </c>
      <c r="Y4" s="38">
        <v>0.27</v>
      </c>
      <c r="Z4" s="43">
        <f>X4*Y4</f>
        <v>0</v>
      </c>
      <c r="AB4" s="1">
        <v>1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39</v>
      </c>
      <c r="AN4" s="59">
        <f>AN2/AN3</f>
        <v>46.035000000000004</v>
      </c>
      <c r="AO4" s="7"/>
      <c r="AP4" s="59" t="s">
        <v>40</v>
      </c>
      <c r="AQ4" s="59">
        <f>AQ2/AQ3</f>
        <v>66.7770724962963</v>
      </c>
    </row>
    <row r="5" spans="1:37" ht="12.75">
      <c r="A5" s="5">
        <v>42433</v>
      </c>
      <c r="C5" s="1">
        <f>B5*Y5</f>
        <v>0</v>
      </c>
      <c r="E5" s="1">
        <f>D5*Y5</f>
        <v>0</v>
      </c>
      <c r="G5" s="1">
        <f>F5*Y5</f>
        <v>0</v>
      </c>
      <c r="H5" s="1">
        <v>200</v>
      </c>
      <c r="I5" s="1">
        <f>H5*Y5</f>
        <v>54</v>
      </c>
      <c r="K5" s="1">
        <f>J5*Y5</f>
        <v>0</v>
      </c>
      <c r="L5" s="37"/>
      <c r="M5" s="37">
        <f>L5*Y5</f>
        <v>0</v>
      </c>
      <c r="N5" s="37"/>
      <c r="O5" s="37" t="s">
        <v>26</v>
      </c>
      <c r="P5" s="37"/>
      <c r="Q5" s="37"/>
      <c r="R5" s="37"/>
      <c r="S5" s="37"/>
      <c r="T5" s="37"/>
      <c r="U5" s="37"/>
      <c r="V5" s="1">
        <v>1</v>
      </c>
      <c r="W5" s="1" t="s">
        <v>287</v>
      </c>
      <c r="X5" s="38">
        <f>B5+D5+F5+H5+J5+L5</f>
        <v>200</v>
      </c>
      <c r="Y5" s="38">
        <v>0.27</v>
      </c>
      <c r="Z5" s="43">
        <f>X5*Y5</f>
        <v>54</v>
      </c>
      <c r="AB5" s="1">
        <v>1</v>
      </c>
      <c r="AD5" s="44" t="s">
        <v>42</v>
      </c>
      <c r="AE5" s="44">
        <f>COUNTA(A2:A350)</f>
        <v>31</v>
      </c>
      <c r="AF5" s="44"/>
      <c r="AG5" s="44"/>
      <c r="AH5" s="44"/>
      <c r="AJ5" s="49" t="s">
        <v>264</v>
      </c>
      <c r="AK5" s="44">
        <f>COUNTA(N2:N50)</f>
        <v>4</v>
      </c>
    </row>
    <row r="6" spans="1:37" ht="12.75">
      <c r="A6" s="5">
        <v>42434</v>
      </c>
      <c r="C6" s="1">
        <f>B6*Y6</f>
        <v>0</v>
      </c>
      <c r="D6" s="1">
        <v>4080</v>
      </c>
      <c r="E6" s="1">
        <f>D6*Y6</f>
        <v>24.026712</v>
      </c>
      <c r="G6" s="1">
        <f>F6*Y6</f>
        <v>0</v>
      </c>
      <c r="I6" s="1">
        <f>H6*Y6</f>
        <v>0</v>
      </c>
      <c r="K6" s="1">
        <f>J6*Y6</f>
        <v>0</v>
      </c>
      <c r="L6" s="37">
        <v>10000</v>
      </c>
      <c r="M6" s="37">
        <f>L6*Y6</f>
        <v>58.888999999999996</v>
      </c>
      <c r="N6" s="37" t="s">
        <v>26</v>
      </c>
      <c r="O6" s="37"/>
      <c r="P6" s="37"/>
      <c r="Q6" s="37"/>
      <c r="R6" s="37"/>
      <c r="S6" s="37"/>
      <c r="T6" s="37"/>
      <c r="U6" s="37"/>
      <c r="V6" s="1">
        <v>4</v>
      </c>
      <c r="W6" s="1" t="s">
        <v>60</v>
      </c>
      <c r="X6" s="38">
        <f>B6+D6+F6+H6+J6+L6</f>
        <v>14080</v>
      </c>
      <c r="Y6" s="38">
        <v>0.0058889</v>
      </c>
      <c r="Z6" s="43">
        <f>X6*Y6</f>
        <v>82.915712</v>
      </c>
      <c r="AB6" s="1">
        <v>2</v>
      </c>
      <c r="AD6" s="49"/>
      <c r="AE6" s="44"/>
      <c r="AF6" s="44"/>
      <c r="AG6" s="44"/>
      <c r="AH6" s="44"/>
      <c r="AJ6" s="49" t="s">
        <v>265</v>
      </c>
      <c r="AK6" s="44">
        <f>COUNTA(P2:P50)</f>
        <v>2</v>
      </c>
    </row>
    <row r="7" spans="1:37" ht="12.75">
      <c r="A7" s="5">
        <v>42435</v>
      </c>
      <c r="C7" s="1">
        <f>B7*Y7</f>
        <v>0</v>
      </c>
      <c r="D7" s="1">
        <v>2290</v>
      </c>
      <c r="E7" s="1">
        <f>D7*Y7</f>
        <v>13.485581</v>
      </c>
      <c r="G7" s="1">
        <f>F7*Y7</f>
        <v>0</v>
      </c>
      <c r="I7" s="1">
        <f>H7*Y7</f>
        <v>0</v>
      </c>
      <c r="K7" s="1">
        <f>J7*Y7</f>
        <v>0</v>
      </c>
      <c r="L7" s="37">
        <v>10000</v>
      </c>
      <c r="M7" s="37">
        <f>L7*Y7</f>
        <v>58.888999999999996</v>
      </c>
      <c r="N7" s="37" t="s">
        <v>26</v>
      </c>
      <c r="O7" s="37"/>
      <c r="P7" s="37"/>
      <c r="Q7" s="37"/>
      <c r="R7" s="37"/>
      <c r="S7" s="37"/>
      <c r="T7" s="37"/>
      <c r="U7" s="37"/>
      <c r="V7" s="1">
        <v>1</v>
      </c>
      <c r="W7" s="1" t="s">
        <v>61</v>
      </c>
      <c r="X7" s="38">
        <f>B7+D7+F7+H7+J7+L7</f>
        <v>12290</v>
      </c>
      <c r="Y7" s="38">
        <v>0.0058889</v>
      </c>
      <c r="Z7" s="43">
        <f>X7*Y7</f>
        <v>72.37458099999999</v>
      </c>
      <c r="AB7" s="1">
        <v>2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COUNTA(Q2:Q50)</f>
        <v>0</v>
      </c>
    </row>
    <row r="8" spans="1:37" ht="12.75">
      <c r="A8" s="5">
        <v>42436</v>
      </c>
      <c r="B8" s="1">
        <v>20000</v>
      </c>
      <c r="C8" s="1">
        <f>B8*Y8</f>
        <v>117.77799999999999</v>
      </c>
      <c r="D8" s="1">
        <v>1770</v>
      </c>
      <c r="E8" s="1">
        <f>D8*Y8</f>
        <v>10.423353</v>
      </c>
      <c r="G8" s="1">
        <f>F8*Y8</f>
        <v>0</v>
      </c>
      <c r="I8" s="1">
        <f>H8*Y8</f>
        <v>0</v>
      </c>
      <c r="K8" s="1">
        <f>J8*Y8</f>
        <v>0</v>
      </c>
      <c r="L8" s="37"/>
      <c r="M8" s="37">
        <f>L8*Y8</f>
        <v>0</v>
      </c>
      <c r="N8" s="37"/>
      <c r="O8" s="37" t="s">
        <v>26</v>
      </c>
      <c r="P8" s="37"/>
      <c r="Q8" s="37"/>
      <c r="R8" s="37"/>
      <c r="S8" s="37"/>
      <c r="T8" s="37"/>
      <c r="U8" s="37"/>
      <c r="W8" s="1" t="s">
        <v>62</v>
      </c>
      <c r="X8" s="38">
        <f>B8+D8+F8+H8+J8+L8</f>
        <v>21770</v>
      </c>
      <c r="Y8" s="38">
        <v>0.0058889</v>
      </c>
      <c r="Z8" s="43">
        <f>X8*Y8</f>
        <v>128.20135299999998</v>
      </c>
      <c r="AB8" s="1">
        <v>2</v>
      </c>
      <c r="AD8" s="44" t="s">
        <v>48</v>
      </c>
      <c r="AE8" s="54">
        <f>SUM(M2:M995)</f>
        <v>458.3785</v>
      </c>
      <c r="AF8" s="44"/>
      <c r="AG8" s="44" t="s">
        <v>11</v>
      </c>
      <c r="AH8" s="54">
        <f>AE8/$AE$5</f>
        <v>14.78640322580645</v>
      </c>
      <c r="AJ8" s="49" t="s">
        <v>269</v>
      </c>
      <c r="AK8" s="44">
        <f>COUNTA(O2:O50)</f>
        <v>3</v>
      </c>
    </row>
    <row r="9" spans="1:37" ht="12.75">
      <c r="A9" s="5">
        <v>42437</v>
      </c>
      <c r="C9" s="1">
        <f>B9*Y9</f>
        <v>0</v>
      </c>
      <c r="D9" s="1">
        <v>1860</v>
      </c>
      <c r="E9" s="1">
        <f>D9*Y9</f>
        <v>10.953354</v>
      </c>
      <c r="F9" s="1">
        <v>3100</v>
      </c>
      <c r="G9" s="1">
        <f>F9*Y9</f>
        <v>18.255589999999998</v>
      </c>
      <c r="I9" s="1">
        <f>H9*Y9</f>
        <v>0</v>
      </c>
      <c r="K9" s="1">
        <f>J9*Y9</f>
        <v>0</v>
      </c>
      <c r="L9" s="37">
        <v>25000</v>
      </c>
      <c r="M9" s="37">
        <f>L9*Y9</f>
        <v>147.2225</v>
      </c>
      <c r="N9" s="37"/>
      <c r="O9" s="37"/>
      <c r="P9" s="37" t="s">
        <v>26</v>
      </c>
      <c r="Q9" s="37"/>
      <c r="R9" s="37"/>
      <c r="S9" s="37"/>
      <c r="T9" s="37"/>
      <c r="U9" s="37"/>
      <c r="W9" s="1" t="s">
        <v>63</v>
      </c>
      <c r="X9" s="38">
        <f>B9+D9+F9+H9+J9+L9</f>
        <v>29960</v>
      </c>
      <c r="Y9" s="38">
        <v>0.0058889</v>
      </c>
      <c r="Z9" s="43">
        <f>X9*Y9</f>
        <v>176.431444</v>
      </c>
      <c r="AB9" s="1">
        <v>2</v>
      </c>
      <c r="AD9" s="44" t="s">
        <v>50</v>
      </c>
      <c r="AE9" s="44">
        <f>SUM(C2:C995)</f>
        <v>230.49154599999997</v>
      </c>
      <c r="AF9" s="44"/>
      <c r="AG9" s="44" t="s">
        <v>1</v>
      </c>
      <c r="AH9" s="44">
        <f>AE9/$AE$5</f>
        <v>7.435211161290321</v>
      </c>
      <c r="AJ9" s="49" t="s">
        <v>17</v>
      </c>
      <c r="AK9" s="44">
        <f>COUNTA(R2:R50)</f>
        <v>22</v>
      </c>
    </row>
    <row r="10" spans="1:34" ht="12.75">
      <c r="A10" s="5">
        <v>42438</v>
      </c>
      <c r="B10" s="1">
        <f>1400+1200</f>
        <v>2600</v>
      </c>
      <c r="C10" s="1">
        <f>B10*Y10</f>
        <v>15.31114</v>
      </c>
      <c r="D10" s="1">
        <v>850</v>
      </c>
      <c r="E10" s="1">
        <f>D10*Y10</f>
        <v>5.005565</v>
      </c>
      <c r="G10" s="1">
        <f>F10*Y10</f>
        <v>0</v>
      </c>
      <c r="I10" s="1">
        <f>H10*Y10</f>
        <v>0</v>
      </c>
      <c r="K10" s="1">
        <f>J10*Y10</f>
        <v>0</v>
      </c>
      <c r="L10" s="37"/>
      <c r="M10" s="37">
        <f>L10*Y10</f>
        <v>0</v>
      </c>
      <c r="N10" s="37"/>
      <c r="O10" s="37" t="s">
        <v>26</v>
      </c>
      <c r="P10" s="37"/>
      <c r="Q10" s="37"/>
      <c r="R10" s="37"/>
      <c r="S10" s="37"/>
      <c r="T10" s="37"/>
      <c r="U10" s="37"/>
      <c r="V10" s="1">
        <v>5</v>
      </c>
      <c r="W10" s="1" t="s">
        <v>64</v>
      </c>
      <c r="X10" s="38">
        <f>B10+D10+F10+H10+J10+L10</f>
        <v>3450</v>
      </c>
      <c r="Y10" s="38">
        <v>0.0058889</v>
      </c>
      <c r="Z10" s="43">
        <f>X10*Y10</f>
        <v>20.316705</v>
      </c>
      <c r="AB10" s="1">
        <v>2</v>
      </c>
      <c r="AD10" s="44" t="s">
        <v>51</v>
      </c>
      <c r="AE10" s="54">
        <f>SUM(E2:E995)</f>
        <v>746.8233174</v>
      </c>
      <c r="AF10" s="44"/>
      <c r="AG10" s="44" t="s">
        <v>52</v>
      </c>
      <c r="AH10" s="44">
        <f>AE10/$AE$5</f>
        <v>24.091074754838708</v>
      </c>
    </row>
    <row r="11" spans="1:34" ht="12.75">
      <c r="A11" s="5">
        <v>42439</v>
      </c>
      <c r="B11" s="1">
        <v>1200</v>
      </c>
      <c r="C11" s="1">
        <f>B11*Y11</f>
        <v>7.06668</v>
      </c>
      <c r="D11" s="1">
        <f>2510+2600</f>
        <v>5110</v>
      </c>
      <c r="E11" s="1">
        <f>D11*Y11</f>
        <v>30.092278999999998</v>
      </c>
      <c r="G11" s="1">
        <f>F11*Y11</f>
        <v>0</v>
      </c>
      <c r="I11" s="1">
        <f>H11*Y11</f>
        <v>0</v>
      </c>
      <c r="K11" s="1">
        <f>J11*Y11</f>
        <v>0</v>
      </c>
      <c r="L11" s="37">
        <v>20000</v>
      </c>
      <c r="M11" s="37">
        <f>L11*Y11</f>
        <v>117.77799999999999</v>
      </c>
      <c r="N11" s="37"/>
      <c r="O11" s="37"/>
      <c r="P11" s="37" t="s">
        <v>26</v>
      </c>
      <c r="Q11" s="37"/>
      <c r="R11" s="37"/>
      <c r="S11" s="37"/>
      <c r="T11" s="37"/>
      <c r="U11" s="37"/>
      <c r="W11" s="1" t="s">
        <v>65</v>
      </c>
      <c r="X11" s="38">
        <f>B11+D11+F11+H11+J11+L11</f>
        <v>26310</v>
      </c>
      <c r="Y11" s="38">
        <v>0.0058889</v>
      </c>
      <c r="Z11" s="43">
        <f>X11*Y11</f>
        <v>154.936959</v>
      </c>
      <c r="AB11" s="1">
        <v>2</v>
      </c>
      <c r="AD11" s="44" t="s">
        <v>54</v>
      </c>
      <c r="AE11" s="54">
        <f>SUM(G2:G995)</f>
        <v>104.23353</v>
      </c>
      <c r="AF11" s="44"/>
      <c r="AG11" s="44" t="s">
        <v>55</v>
      </c>
      <c r="AH11" s="54">
        <f>AE11/$AE$5</f>
        <v>3.362371935483871</v>
      </c>
    </row>
    <row r="12" spans="1:34" ht="12.75">
      <c r="A12" s="5">
        <v>42440</v>
      </c>
      <c r="C12" s="1">
        <f>B12*Y12</f>
        <v>0</v>
      </c>
      <c r="D12" s="1">
        <f>2400+10000</f>
        <v>12400</v>
      </c>
      <c r="E12" s="1">
        <f>D12*Y12</f>
        <v>73.02235999999999</v>
      </c>
      <c r="G12" s="1">
        <f>F12*Y12</f>
        <v>0</v>
      </c>
      <c r="I12" s="1">
        <f>H12*Y12</f>
        <v>0</v>
      </c>
      <c r="K12" s="1">
        <f>J12*Y12</f>
        <v>0</v>
      </c>
      <c r="L12" s="37"/>
      <c r="M12" s="37">
        <f>L12*Y12</f>
        <v>0</v>
      </c>
      <c r="N12" s="37"/>
      <c r="O12" s="37"/>
      <c r="P12" s="37"/>
      <c r="Q12" s="37"/>
      <c r="R12" s="37" t="s">
        <v>26</v>
      </c>
      <c r="S12" s="37"/>
      <c r="T12" s="37"/>
      <c r="U12" s="37"/>
      <c r="V12" s="1">
        <v>3</v>
      </c>
      <c r="W12" s="1" t="s">
        <v>66</v>
      </c>
      <c r="X12" s="38">
        <f>B12+D12+F12+H12+J12+L12</f>
        <v>12400</v>
      </c>
      <c r="Y12" s="38">
        <v>0.0058889</v>
      </c>
      <c r="Z12" s="43">
        <f>X12*Y12</f>
        <v>73.02235999999999</v>
      </c>
      <c r="AB12" s="1">
        <v>2</v>
      </c>
      <c r="AD12" s="44" t="s">
        <v>57</v>
      </c>
      <c r="AE12" s="54">
        <f>SUM(K2:K995)</f>
        <v>64.829</v>
      </c>
      <c r="AF12" s="44"/>
      <c r="AG12" s="44" t="s">
        <v>9</v>
      </c>
      <c r="AH12" s="54">
        <f>AE12/$AE$5</f>
        <v>2.0912580645161287</v>
      </c>
    </row>
    <row r="13" spans="1:34" ht="12.75">
      <c r="A13" s="5">
        <v>42441</v>
      </c>
      <c r="C13" s="1">
        <f>B13*Y13</f>
        <v>0</v>
      </c>
      <c r="D13" s="1">
        <f>4000+6000+2000+500</f>
        <v>12500</v>
      </c>
      <c r="E13" s="1">
        <f>D13*Y13</f>
        <v>73.61125</v>
      </c>
      <c r="G13" s="1">
        <f>F13*Y13</f>
        <v>0</v>
      </c>
      <c r="H13" s="1">
        <v>2000</v>
      </c>
      <c r="I13" s="1">
        <f>H13*Y13</f>
        <v>11.7778</v>
      </c>
      <c r="K13" s="1">
        <f>J13*Y13</f>
        <v>0</v>
      </c>
      <c r="L13" s="37"/>
      <c r="M13" s="37">
        <f>L13*Y13</f>
        <v>0</v>
      </c>
      <c r="N13" s="37"/>
      <c r="O13" s="37"/>
      <c r="P13" s="37"/>
      <c r="Q13" s="37"/>
      <c r="R13" s="37" t="s">
        <v>26</v>
      </c>
      <c r="S13" s="37"/>
      <c r="T13" s="37"/>
      <c r="U13" s="37"/>
      <c r="V13" s="1">
        <v>4</v>
      </c>
      <c r="W13" s="1" t="s">
        <v>67</v>
      </c>
      <c r="X13" s="38">
        <f>B13+D13+F13+H13+J13+L13</f>
        <v>14500</v>
      </c>
      <c r="Y13" s="38">
        <v>0.0058889</v>
      </c>
      <c r="Z13" s="43">
        <f>X13*Y13</f>
        <v>85.38905</v>
      </c>
      <c r="AB13" s="1">
        <v>2</v>
      </c>
      <c r="AD13" s="44" t="s">
        <v>58</v>
      </c>
      <c r="AE13" s="44">
        <f>SUM(I2:I995)</f>
        <v>382.365064</v>
      </c>
      <c r="AF13" s="44"/>
      <c r="AG13" s="44" t="s">
        <v>7</v>
      </c>
      <c r="AH13" s="54">
        <f>AE13/$AE$5</f>
        <v>12.334356903225807</v>
      </c>
    </row>
    <row r="14" spans="1:34" ht="12.75">
      <c r="A14" s="5">
        <v>42442</v>
      </c>
      <c r="C14" s="1">
        <f>B14*Y14</f>
        <v>0</v>
      </c>
      <c r="D14" s="1">
        <v>3630</v>
      </c>
      <c r="E14" s="1">
        <f>D14*Y14</f>
        <v>21.376707</v>
      </c>
      <c r="G14" s="1">
        <f>F14*Y14</f>
        <v>0</v>
      </c>
      <c r="I14" s="1">
        <f>H14*Y14</f>
        <v>0</v>
      </c>
      <c r="J14" s="1">
        <v>5000</v>
      </c>
      <c r="K14" s="1">
        <f>J14*Y14</f>
        <v>29.444499999999998</v>
      </c>
      <c r="L14" s="37"/>
      <c r="M14" s="37">
        <f>L14*Y14</f>
        <v>0</v>
      </c>
      <c r="N14" s="37"/>
      <c r="O14" s="37"/>
      <c r="P14" s="37"/>
      <c r="Q14" s="37"/>
      <c r="R14" s="37" t="s">
        <v>26</v>
      </c>
      <c r="S14" s="37"/>
      <c r="T14" s="37"/>
      <c r="U14" s="37"/>
      <c r="W14" s="1" t="s">
        <v>68</v>
      </c>
      <c r="X14" s="38">
        <f>B14+D14+F14+H14+J14+L14</f>
        <v>8630</v>
      </c>
      <c r="Y14" s="38">
        <v>0.0058889</v>
      </c>
      <c r="Z14" s="43">
        <f>X14*Y14</f>
        <v>50.821207</v>
      </c>
      <c r="AB14" s="1">
        <v>2</v>
      </c>
      <c r="AD14" s="44"/>
      <c r="AE14" s="44"/>
      <c r="AF14" s="44"/>
      <c r="AG14" s="44"/>
      <c r="AH14" s="44"/>
    </row>
    <row r="15" spans="1:34" ht="12.75">
      <c r="A15" s="5">
        <v>42443</v>
      </c>
      <c r="C15" s="1">
        <f>B15*Y15</f>
        <v>0</v>
      </c>
      <c r="D15" s="1">
        <f>935+4970+670</f>
        <v>6575</v>
      </c>
      <c r="E15" s="1">
        <f>D15*Y15</f>
        <v>38.7195175</v>
      </c>
      <c r="G15" s="1">
        <f>F15*Y15</f>
        <v>0</v>
      </c>
      <c r="I15" s="1">
        <f>H15*Y15</f>
        <v>0</v>
      </c>
      <c r="K15" s="1">
        <f>J15*Y15</f>
        <v>0</v>
      </c>
      <c r="L15" s="37"/>
      <c r="M15" s="37">
        <f>L15*Y15</f>
        <v>0</v>
      </c>
      <c r="N15" s="37"/>
      <c r="O15" s="37"/>
      <c r="P15" s="37"/>
      <c r="Q15" s="37"/>
      <c r="R15" s="37" t="s">
        <v>26</v>
      </c>
      <c r="S15" s="37"/>
      <c r="T15" s="37"/>
      <c r="U15" s="37"/>
      <c r="W15" s="1" t="s">
        <v>68</v>
      </c>
      <c r="X15" s="38">
        <f>B15+D15+F15+H15+J15+L15</f>
        <v>6575</v>
      </c>
      <c r="Y15" s="38">
        <v>0.0058889</v>
      </c>
      <c r="Z15" s="43">
        <f>X15*Y15</f>
        <v>38.7195175</v>
      </c>
      <c r="AB15" s="1">
        <v>2</v>
      </c>
      <c r="AD15" s="49"/>
      <c r="AE15" s="49"/>
      <c r="AF15" s="44"/>
      <c r="AG15" s="44"/>
      <c r="AH15" s="44"/>
    </row>
    <row r="16" spans="1:34" ht="12.75">
      <c r="A16" s="5">
        <v>42444</v>
      </c>
      <c r="B16" s="1">
        <v>820</v>
      </c>
      <c r="C16" s="1">
        <f>B16*Y16</f>
        <v>4.828898</v>
      </c>
      <c r="D16" s="1">
        <v>650</v>
      </c>
      <c r="E16" s="1">
        <f>D16*Y16</f>
        <v>3.827785</v>
      </c>
      <c r="G16" s="1">
        <f>F16*Y16</f>
        <v>0</v>
      </c>
      <c r="I16" s="1">
        <f>H16*Y16</f>
        <v>0</v>
      </c>
      <c r="K16" s="1">
        <f>J16*Y16</f>
        <v>0</v>
      </c>
      <c r="L16" s="37"/>
      <c r="M16" s="37">
        <f>L16*Y16</f>
        <v>0</v>
      </c>
      <c r="N16" s="37"/>
      <c r="O16" s="37"/>
      <c r="P16" s="37"/>
      <c r="Q16" s="37"/>
      <c r="R16" s="37" t="s">
        <v>26</v>
      </c>
      <c r="S16" s="37"/>
      <c r="T16" s="37"/>
      <c r="U16" s="37"/>
      <c r="V16" s="1">
        <v>3</v>
      </c>
      <c r="W16" s="1" t="s">
        <v>69</v>
      </c>
      <c r="X16" s="38">
        <f>B16+D16+F16+H16+J16+L16</f>
        <v>1470</v>
      </c>
      <c r="Y16" s="38">
        <v>0.0058889</v>
      </c>
      <c r="Z16" s="43">
        <f>X16*Y16</f>
        <v>8.656683</v>
      </c>
      <c r="AB16" s="1">
        <v>2</v>
      </c>
      <c r="AD16" s="49" t="s">
        <v>288</v>
      </c>
      <c r="AE16" s="44">
        <f>SUM(V2:V995)</f>
        <v>32</v>
      </c>
      <c r="AF16" s="44"/>
      <c r="AG16" s="44"/>
      <c r="AH16" s="44"/>
    </row>
    <row r="17" spans="1:28" ht="12.75">
      <c r="A17" s="5">
        <v>42445</v>
      </c>
      <c r="B17" s="1">
        <f>500+1200</f>
        <v>1700</v>
      </c>
      <c r="C17" s="1">
        <f>B17*Y17</f>
        <v>10.01113</v>
      </c>
      <c r="E17" s="1">
        <f>D17*Y17</f>
        <v>0</v>
      </c>
      <c r="F17" s="1">
        <v>6400</v>
      </c>
      <c r="G17" s="1">
        <f>F17*Y17</f>
        <v>37.68896</v>
      </c>
      <c r="I17" s="1">
        <f>H17*Y17</f>
        <v>0</v>
      </c>
      <c r="K17" s="1">
        <f>J17*Y17</f>
        <v>0</v>
      </c>
      <c r="L17" s="37"/>
      <c r="M17" s="37">
        <f>L17*Y17</f>
        <v>0</v>
      </c>
      <c r="N17" s="37"/>
      <c r="O17" s="37"/>
      <c r="P17" s="37"/>
      <c r="Q17" s="37"/>
      <c r="R17" s="37" t="s">
        <v>26</v>
      </c>
      <c r="S17" s="37"/>
      <c r="T17" s="37"/>
      <c r="U17" s="37"/>
      <c r="W17" s="1" t="s">
        <v>70</v>
      </c>
      <c r="X17" s="38">
        <f>B17+D17+F17+H17+J17+L17</f>
        <v>8100</v>
      </c>
      <c r="Y17" s="38">
        <v>0.0058889</v>
      </c>
      <c r="Z17" s="43">
        <f>X17*Y17</f>
        <v>47.700089999999996</v>
      </c>
      <c r="AB17" s="1">
        <v>2</v>
      </c>
    </row>
    <row r="18" spans="1:28" ht="12.75">
      <c r="A18" s="5">
        <v>42446</v>
      </c>
      <c r="B18" s="1">
        <f>900+900</f>
        <v>1800</v>
      </c>
      <c r="C18" s="1">
        <f>B18*Y18</f>
        <v>10.600019999999999</v>
      </c>
      <c r="D18" s="1">
        <v>4300</v>
      </c>
      <c r="E18" s="1">
        <f>D18*Y18</f>
        <v>25.32227</v>
      </c>
      <c r="G18" s="1">
        <f>F18*Y18</f>
        <v>0</v>
      </c>
      <c r="I18" s="1">
        <f>H18*Y18</f>
        <v>0</v>
      </c>
      <c r="K18" s="1">
        <f>J18*Y18</f>
        <v>0</v>
      </c>
      <c r="L18" s="37"/>
      <c r="M18" s="37">
        <f>L18*Y18</f>
        <v>0</v>
      </c>
      <c r="N18" s="37"/>
      <c r="O18" s="37"/>
      <c r="P18" s="37"/>
      <c r="Q18" s="37"/>
      <c r="R18" s="37" t="s">
        <v>26</v>
      </c>
      <c r="S18" s="37"/>
      <c r="T18" s="37"/>
      <c r="U18" s="37"/>
      <c r="W18" s="1" t="s">
        <v>70</v>
      </c>
      <c r="X18" s="38">
        <f>B18+D18+F18+H18+J18+L18</f>
        <v>6100</v>
      </c>
      <c r="Y18" s="38">
        <v>0.0058889</v>
      </c>
      <c r="Z18" s="43">
        <f>X18*Y18</f>
        <v>35.92229</v>
      </c>
      <c r="AB18" s="1">
        <v>2</v>
      </c>
    </row>
    <row r="19" spans="1:28" ht="12.75">
      <c r="A19" s="5">
        <v>42447</v>
      </c>
      <c r="C19" s="1">
        <f>B19*Y19</f>
        <v>0</v>
      </c>
      <c r="D19" s="1">
        <v>5000</v>
      </c>
      <c r="E19" s="1">
        <f>D19*Y19</f>
        <v>29.444499999999998</v>
      </c>
      <c r="G19" s="1">
        <f>F19*Y19</f>
        <v>0</v>
      </c>
      <c r="I19" s="1">
        <f>H19*Y19</f>
        <v>0</v>
      </c>
      <c r="K19" s="1">
        <f>J19*Y19</f>
        <v>0</v>
      </c>
      <c r="L19" s="37"/>
      <c r="M19" s="37">
        <f>L19*Y19</f>
        <v>0</v>
      </c>
      <c r="N19" s="37"/>
      <c r="O19" s="37"/>
      <c r="P19" s="37"/>
      <c r="Q19" s="37"/>
      <c r="R19" s="37" t="s">
        <v>26</v>
      </c>
      <c r="S19" s="37"/>
      <c r="T19" s="37"/>
      <c r="U19" s="37"/>
      <c r="W19" s="1" t="s">
        <v>70</v>
      </c>
      <c r="X19" s="38">
        <f>B19+D19+F19+H19+J19+L19</f>
        <v>5000</v>
      </c>
      <c r="Y19" s="38">
        <v>0.0058889</v>
      </c>
      <c r="Z19" s="43">
        <f>X19*Y19</f>
        <v>29.444499999999998</v>
      </c>
      <c r="AB19" s="1">
        <v>2</v>
      </c>
    </row>
    <row r="20" spans="1:28" ht="12.75">
      <c r="A20" s="5">
        <v>42448</v>
      </c>
      <c r="C20" s="1">
        <f>B20*Y20</f>
        <v>0</v>
      </c>
      <c r="D20" s="1">
        <v>4600</v>
      </c>
      <c r="E20" s="1">
        <f>D20*Y20</f>
        <v>27.08894</v>
      </c>
      <c r="F20" s="1">
        <v>2000</v>
      </c>
      <c r="G20" s="1">
        <f>F20*Y20</f>
        <v>11.7778</v>
      </c>
      <c r="I20" s="1">
        <f>H20*Y20</f>
        <v>0</v>
      </c>
      <c r="K20" s="1">
        <f>J20*Y20</f>
        <v>0</v>
      </c>
      <c r="L20" s="37"/>
      <c r="M20" s="37">
        <f>L20*Y20</f>
        <v>0</v>
      </c>
      <c r="N20" s="37"/>
      <c r="O20" s="37"/>
      <c r="P20" s="37"/>
      <c r="Q20" s="37"/>
      <c r="R20" s="37" t="s">
        <v>26</v>
      </c>
      <c r="S20" s="37"/>
      <c r="T20" s="37"/>
      <c r="U20" s="37"/>
      <c r="W20" s="1" t="s">
        <v>70</v>
      </c>
      <c r="X20" s="38">
        <f>B20+D20+F20+H20+J20+L20</f>
        <v>6600</v>
      </c>
      <c r="Y20" s="38">
        <v>0.0058889</v>
      </c>
      <c r="Z20" s="43">
        <f>X20*Y20</f>
        <v>38.86674</v>
      </c>
      <c r="AB20" s="1">
        <v>2</v>
      </c>
    </row>
    <row r="21" spans="1:28" ht="12.75">
      <c r="A21" s="5">
        <v>42449</v>
      </c>
      <c r="C21" s="1">
        <f>B21*Y21</f>
        <v>0</v>
      </c>
      <c r="E21" s="1">
        <f>D21*Y21</f>
        <v>0</v>
      </c>
      <c r="G21" s="1">
        <f>F21*Y21</f>
        <v>0</v>
      </c>
      <c r="I21" s="1">
        <f>H21*Y21</f>
        <v>0</v>
      </c>
      <c r="K21" s="1">
        <f>J21*Y21</f>
        <v>0</v>
      </c>
      <c r="L21" s="37"/>
      <c r="M21" s="37">
        <f>L21*Y21</f>
        <v>0</v>
      </c>
      <c r="N21" s="37"/>
      <c r="O21" s="37"/>
      <c r="P21" s="37"/>
      <c r="Q21" s="37"/>
      <c r="R21" s="37" t="s">
        <v>26</v>
      </c>
      <c r="S21" s="37"/>
      <c r="T21" s="37"/>
      <c r="U21" s="37"/>
      <c r="W21" s="1" t="s">
        <v>70</v>
      </c>
      <c r="X21" s="38">
        <f>B21+D21+F21+H21+J21+L21</f>
        <v>0</v>
      </c>
      <c r="Y21" s="38">
        <v>0.0058889</v>
      </c>
      <c r="Z21" s="43">
        <f>X21*Y21</f>
        <v>0</v>
      </c>
      <c r="AB21" s="1">
        <v>2</v>
      </c>
    </row>
    <row r="22" spans="1:28" ht="12.75">
      <c r="A22" s="5">
        <v>42450</v>
      </c>
      <c r="B22" s="1">
        <v>1000</v>
      </c>
      <c r="C22" s="1">
        <f>B22*Y22</f>
        <v>5.8889</v>
      </c>
      <c r="E22" s="1">
        <f>D22*Y22</f>
        <v>0</v>
      </c>
      <c r="G22" s="1">
        <f>F22*Y22</f>
        <v>0</v>
      </c>
      <c r="I22" s="1">
        <f>H22*Y22</f>
        <v>0</v>
      </c>
      <c r="K22" s="1">
        <f>J22*Y22</f>
        <v>0</v>
      </c>
      <c r="L22" s="37"/>
      <c r="M22" s="37">
        <f>L22*Y22</f>
        <v>0</v>
      </c>
      <c r="N22" s="37"/>
      <c r="O22" s="37"/>
      <c r="P22" s="37"/>
      <c r="Q22" s="37"/>
      <c r="R22" s="37" t="s">
        <v>26</v>
      </c>
      <c r="S22" s="37"/>
      <c r="T22" s="37"/>
      <c r="U22" s="37"/>
      <c r="V22" s="1">
        <v>4</v>
      </c>
      <c r="W22" s="1" t="s">
        <v>71</v>
      </c>
      <c r="X22" s="38">
        <f>B22+D22+F22+H22+J22+L22</f>
        <v>1000</v>
      </c>
      <c r="Y22" s="38">
        <v>0.0058889</v>
      </c>
      <c r="Z22" s="43">
        <f>X22*Y22</f>
        <v>5.8889</v>
      </c>
      <c r="AB22" s="1">
        <v>2</v>
      </c>
    </row>
    <row r="23" spans="1:28" ht="12.75">
      <c r="A23" s="5">
        <v>42451</v>
      </c>
      <c r="C23" s="1">
        <f>B23*Y23</f>
        <v>0</v>
      </c>
      <c r="D23" s="1">
        <f>4800+2000+500+3432</f>
        <v>10732</v>
      </c>
      <c r="E23" s="1">
        <f>D23*Y23</f>
        <v>63.1996748</v>
      </c>
      <c r="F23" s="1">
        <v>5000</v>
      </c>
      <c r="G23" s="1">
        <f>F23*Y23</f>
        <v>29.444499999999998</v>
      </c>
      <c r="I23" s="1">
        <f>H23*Y23</f>
        <v>0</v>
      </c>
      <c r="K23" s="1">
        <f>J23*Y23</f>
        <v>0</v>
      </c>
      <c r="L23" s="37"/>
      <c r="M23" s="37">
        <f>L23*Y23</f>
        <v>0</v>
      </c>
      <c r="N23" s="37"/>
      <c r="O23" s="37"/>
      <c r="P23" s="37"/>
      <c r="Q23" s="37"/>
      <c r="R23" s="37" t="s">
        <v>26</v>
      </c>
      <c r="S23" s="37"/>
      <c r="T23" s="37"/>
      <c r="U23" s="37"/>
      <c r="W23" s="1" t="s">
        <v>72</v>
      </c>
      <c r="X23" s="38">
        <f>B23+D23+F23+H23+J23+L23</f>
        <v>15732</v>
      </c>
      <c r="Y23" s="38">
        <v>0.0058889</v>
      </c>
      <c r="Z23" s="43">
        <f>X23*Y23</f>
        <v>92.6441748</v>
      </c>
      <c r="AB23" s="1">
        <v>2</v>
      </c>
    </row>
    <row r="24" spans="1:28" ht="12.75">
      <c r="A24" s="5">
        <v>42452</v>
      </c>
      <c r="C24" s="1">
        <f>B24*Y24</f>
        <v>0</v>
      </c>
      <c r="D24" s="1">
        <f>3515+1054+2380+470</f>
        <v>7419</v>
      </c>
      <c r="E24" s="1">
        <f>D24*Y24</f>
        <v>43.6897491</v>
      </c>
      <c r="G24" s="1">
        <f>F24*Y24</f>
        <v>0</v>
      </c>
      <c r="I24" s="1">
        <f>H24*Y24</f>
        <v>0</v>
      </c>
      <c r="K24" s="1">
        <f>J24*Y24</f>
        <v>0</v>
      </c>
      <c r="L24" s="37"/>
      <c r="M24" s="37">
        <f>L24*Y24</f>
        <v>0</v>
      </c>
      <c r="N24" s="37"/>
      <c r="O24" s="37"/>
      <c r="P24" s="37"/>
      <c r="Q24" s="37"/>
      <c r="R24" s="37" t="s">
        <v>26</v>
      </c>
      <c r="S24" s="37"/>
      <c r="T24" s="37"/>
      <c r="U24" s="37"/>
      <c r="W24" s="1" t="s">
        <v>72</v>
      </c>
      <c r="X24" s="38">
        <f>B24+D24+F24+H24+J24+L24</f>
        <v>7419</v>
      </c>
      <c r="Y24" s="38">
        <v>0.0058889</v>
      </c>
      <c r="Z24" s="43">
        <f>X24*Y24</f>
        <v>43.6897491</v>
      </c>
      <c r="AB24" s="1">
        <v>2</v>
      </c>
    </row>
    <row r="25" spans="1:28" ht="12.75">
      <c r="A25" s="5">
        <v>42453</v>
      </c>
      <c r="C25" s="1">
        <f>B25*Y25</f>
        <v>0</v>
      </c>
      <c r="D25" s="1">
        <f>6530+550</f>
        <v>7080</v>
      </c>
      <c r="E25" s="1">
        <f>D25*Y25</f>
        <v>41.693412</v>
      </c>
      <c r="F25" s="1">
        <v>1200</v>
      </c>
      <c r="G25" s="1">
        <f>F25*Y25</f>
        <v>7.06668</v>
      </c>
      <c r="I25" s="1">
        <f>H25*Y25</f>
        <v>0</v>
      </c>
      <c r="K25" s="1">
        <f>J25*Y25</f>
        <v>0</v>
      </c>
      <c r="L25" s="37"/>
      <c r="M25" s="37">
        <f>L25*Y25</f>
        <v>0</v>
      </c>
      <c r="N25" s="37"/>
      <c r="O25" s="37"/>
      <c r="P25" s="37"/>
      <c r="Q25" s="37"/>
      <c r="R25" s="37" t="s">
        <v>26</v>
      </c>
      <c r="S25" s="37"/>
      <c r="T25" s="37"/>
      <c r="U25" s="37"/>
      <c r="W25" s="1" t="s">
        <v>72</v>
      </c>
      <c r="X25" s="38">
        <f>B25+D25+F25+H25+J25+L25</f>
        <v>8280</v>
      </c>
      <c r="Y25" s="38">
        <v>0.0058889</v>
      </c>
      <c r="Z25" s="43">
        <f>X25*Y25</f>
        <v>48.760092</v>
      </c>
      <c r="AB25" s="1">
        <v>2</v>
      </c>
    </row>
    <row r="26" spans="1:28" ht="12.75">
      <c r="A26" s="5">
        <v>42454</v>
      </c>
      <c r="B26" s="1">
        <f>6000+940+940+600+200+1340</f>
        <v>10020</v>
      </c>
      <c r="C26" s="1">
        <f>B26*Y26</f>
        <v>59.006778</v>
      </c>
      <c r="D26" s="1">
        <f>400+2725</f>
        <v>3125</v>
      </c>
      <c r="E26" s="1">
        <f>D26*Y26</f>
        <v>18.4028125</v>
      </c>
      <c r="G26" s="1">
        <f>F26*Y26</f>
        <v>0</v>
      </c>
      <c r="I26" s="1">
        <f>H26*Y26</f>
        <v>0</v>
      </c>
      <c r="K26" s="1">
        <f>J26*Y26</f>
        <v>0</v>
      </c>
      <c r="L26" s="37"/>
      <c r="M26" s="37">
        <f>L26*Y26</f>
        <v>0</v>
      </c>
      <c r="N26" s="37"/>
      <c r="O26" s="37"/>
      <c r="P26" s="37"/>
      <c r="Q26" s="37"/>
      <c r="R26" s="37" t="s">
        <v>26</v>
      </c>
      <c r="S26" s="37"/>
      <c r="T26" s="37"/>
      <c r="U26" s="37"/>
      <c r="V26" s="1">
        <v>4</v>
      </c>
      <c r="W26" s="1" t="s">
        <v>73</v>
      </c>
      <c r="X26" s="38">
        <f>B26+D26+F26+H26+J26+L26</f>
        <v>13145</v>
      </c>
      <c r="Y26" s="38">
        <v>0.0058889</v>
      </c>
      <c r="Z26" s="43">
        <f>X26*Y26</f>
        <v>77.4095905</v>
      </c>
      <c r="AB26" s="1">
        <v>2</v>
      </c>
    </row>
    <row r="27" spans="1:28" ht="12.75">
      <c r="A27" s="5">
        <v>42455</v>
      </c>
      <c r="C27" s="1">
        <f>B27*Y27</f>
        <v>0</v>
      </c>
      <c r="E27" s="1">
        <f>D27*Y27</f>
        <v>0</v>
      </c>
      <c r="G27" s="1">
        <f>F27*Y27</f>
        <v>0</v>
      </c>
      <c r="H27" s="1">
        <f>26880*2</f>
        <v>53760</v>
      </c>
      <c r="I27" s="1">
        <f>H27*Y27</f>
        <v>316.587264</v>
      </c>
      <c r="K27" s="1">
        <f>J27*Y27</f>
        <v>0</v>
      </c>
      <c r="L27" s="37"/>
      <c r="M27" s="37">
        <f>L27*Y27</f>
        <v>0</v>
      </c>
      <c r="N27" s="37"/>
      <c r="O27" s="37"/>
      <c r="P27" s="37"/>
      <c r="Q27" s="37"/>
      <c r="R27" s="37" t="s">
        <v>26</v>
      </c>
      <c r="S27" s="37"/>
      <c r="T27" s="37"/>
      <c r="U27" s="37"/>
      <c r="W27" s="1" t="s">
        <v>74</v>
      </c>
      <c r="X27" s="38">
        <f>B27+D27+F27+H27+J27+L27</f>
        <v>53760</v>
      </c>
      <c r="Y27" s="38">
        <v>0.0058889</v>
      </c>
      <c r="Z27" s="43">
        <f>X27*Y27</f>
        <v>316.587264</v>
      </c>
      <c r="AB27" s="1">
        <v>2</v>
      </c>
    </row>
    <row r="28" spans="1:28" ht="12.75">
      <c r="A28" s="5">
        <v>42456</v>
      </c>
      <c r="C28" s="1">
        <f>B28*Y28</f>
        <v>0</v>
      </c>
      <c r="D28" s="1">
        <f>5295+1370</f>
        <v>6665</v>
      </c>
      <c r="E28" s="1">
        <f>D28*Y28</f>
        <v>39.2495185</v>
      </c>
      <c r="G28" s="1">
        <f>F28*Y28</f>
        <v>0</v>
      </c>
      <c r="I28" s="1">
        <f>H28*Y28</f>
        <v>0</v>
      </c>
      <c r="K28" s="1">
        <f>J28*Y28</f>
        <v>0</v>
      </c>
      <c r="L28" s="37"/>
      <c r="M28" s="37">
        <f>L28*Y28</f>
        <v>0</v>
      </c>
      <c r="N28" s="37"/>
      <c r="O28" s="37"/>
      <c r="P28" s="37"/>
      <c r="Q28" s="37"/>
      <c r="R28" s="37" t="s">
        <v>26</v>
      </c>
      <c r="S28" s="37"/>
      <c r="T28" s="37"/>
      <c r="U28" s="37"/>
      <c r="W28" s="1" t="s">
        <v>72</v>
      </c>
      <c r="X28" s="38">
        <f>B28+D28+F28+H28+J28+L28</f>
        <v>6665</v>
      </c>
      <c r="Y28" s="38">
        <v>0.0058889</v>
      </c>
      <c r="Z28" s="43">
        <f>X28*Y28</f>
        <v>39.2495185</v>
      </c>
      <c r="AB28" s="1">
        <v>2</v>
      </c>
    </row>
    <row r="29" spans="1:28" ht="12.75">
      <c r="A29" s="5">
        <v>42457</v>
      </c>
      <c r="C29" s="1">
        <f>B29*Y29</f>
        <v>0</v>
      </c>
      <c r="D29" s="1">
        <v>450</v>
      </c>
      <c r="E29" s="1">
        <f>D29*Y29</f>
        <v>2.6500049999999997</v>
      </c>
      <c r="G29" s="1">
        <f>F29*Y29</f>
        <v>0</v>
      </c>
      <c r="I29" s="1">
        <f>H29*Y29</f>
        <v>0</v>
      </c>
      <c r="K29" s="1">
        <f>J29*Y29</f>
        <v>0</v>
      </c>
      <c r="L29" s="37"/>
      <c r="M29" s="37">
        <f>L29*Y29</f>
        <v>0</v>
      </c>
      <c r="N29" s="37"/>
      <c r="O29" s="37"/>
      <c r="P29" s="37"/>
      <c r="Q29" s="37"/>
      <c r="R29" s="37" t="s">
        <v>26</v>
      </c>
      <c r="S29" s="37"/>
      <c r="T29" s="37"/>
      <c r="U29" s="37"/>
      <c r="W29" s="1" t="s">
        <v>72</v>
      </c>
      <c r="X29" s="38">
        <f>B29+D29+F29+H29+J29+L29</f>
        <v>450</v>
      </c>
      <c r="Y29" s="38">
        <v>0.0058889</v>
      </c>
      <c r="Z29" s="43">
        <f>X29*Y29</f>
        <v>2.6500049999999997</v>
      </c>
      <c r="AB29" s="1">
        <v>2</v>
      </c>
    </row>
    <row r="30" spans="1:28" ht="12.75">
      <c r="A30" s="5">
        <v>42458</v>
      </c>
      <c r="C30" s="1">
        <f>B30*Y30</f>
        <v>0</v>
      </c>
      <c r="D30" s="1">
        <f>2910+2450+1000</f>
        <v>6360</v>
      </c>
      <c r="E30" s="1">
        <f>D30*Y30</f>
        <v>37.453404</v>
      </c>
      <c r="G30" s="1">
        <f>F30*Y30</f>
        <v>0</v>
      </c>
      <c r="I30" s="1">
        <f>H30*Y30</f>
        <v>0</v>
      </c>
      <c r="J30" s="1">
        <v>5000</v>
      </c>
      <c r="K30" s="1">
        <f>J30*Y30</f>
        <v>29.444499999999998</v>
      </c>
      <c r="L30" s="37"/>
      <c r="M30" s="37">
        <f>L30*Y30</f>
        <v>0</v>
      </c>
      <c r="N30" s="37"/>
      <c r="O30" s="37"/>
      <c r="P30" s="37"/>
      <c r="Q30" s="37"/>
      <c r="R30" s="37" t="s">
        <v>26</v>
      </c>
      <c r="S30" s="37"/>
      <c r="T30" s="37"/>
      <c r="U30" s="37"/>
      <c r="W30" s="1" t="s">
        <v>72</v>
      </c>
      <c r="X30" s="38">
        <f>B30+D30+F30+H30+J30+L30</f>
        <v>11360</v>
      </c>
      <c r="Y30" s="38">
        <v>0.0058889</v>
      </c>
      <c r="Z30" s="43">
        <f>X30*Y30</f>
        <v>66.897904</v>
      </c>
      <c r="AB30" s="1">
        <v>2</v>
      </c>
    </row>
    <row r="31" spans="1:28" ht="12.75">
      <c r="A31" s="5">
        <v>42459</v>
      </c>
      <c r="C31" s="1">
        <f>B31*Y31</f>
        <v>0</v>
      </c>
      <c r="D31" s="1">
        <v>7430</v>
      </c>
      <c r="E31" s="1">
        <f>D31*Y31</f>
        <v>43.754526999999996</v>
      </c>
      <c r="G31" s="1">
        <f>F31*Y31</f>
        <v>0</v>
      </c>
      <c r="I31" s="1">
        <f>H31*Y31</f>
        <v>0</v>
      </c>
      <c r="K31" s="1">
        <f>J31*Y31</f>
        <v>0</v>
      </c>
      <c r="L31" s="37"/>
      <c r="M31" s="37">
        <f>L31*Y31</f>
        <v>0</v>
      </c>
      <c r="N31" s="37"/>
      <c r="O31" s="37"/>
      <c r="P31" s="37"/>
      <c r="Q31" s="37"/>
      <c r="R31" s="37" t="s">
        <v>26</v>
      </c>
      <c r="S31" s="37"/>
      <c r="T31" s="37"/>
      <c r="U31" s="37"/>
      <c r="W31" s="1" t="s">
        <v>72</v>
      </c>
      <c r="X31" s="38">
        <f>B31+D31+F31+H31+J31+L31</f>
        <v>7430</v>
      </c>
      <c r="Y31" s="38">
        <v>0.0058889</v>
      </c>
      <c r="Z31" s="43">
        <f>X31*Y31</f>
        <v>43.754526999999996</v>
      </c>
      <c r="AB31" s="1">
        <v>2</v>
      </c>
    </row>
    <row r="32" spans="1:28" ht="12.75">
      <c r="A32" s="5">
        <v>42460</v>
      </c>
      <c r="C32" s="1">
        <f>B32*Y32</f>
        <v>0</v>
      </c>
      <c r="D32" s="1">
        <v>3690</v>
      </c>
      <c r="E32" s="1">
        <f>D32*Y32</f>
        <v>21.730041</v>
      </c>
      <c r="G32" s="1">
        <f>F32*Y32</f>
        <v>0</v>
      </c>
      <c r="I32" s="1">
        <f>H32*Y32</f>
        <v>0</v>
      </c>
      <c r="K32" s="1">
        <f>J32*Y32</f>
        <v>0</v>
      </c>
      <c r="L32" s="37"/>
      <c r="M32" s="37">
        <f>L32*Y32</f>
        <v>0</v>
      </c>
      <c r="N32" s="37"/>
      <c r="O32" s="37"/>
      <c r="P32" s="37"/>
      <c r="Q32" s="37"/>
      <c r="R32" s="37" t="s">
        <v>26</v>
      </c>
      <c r="S32" s="37"/>
      <c r="T32" s="37"/>
      <c r="U32" s="37"/>
      <c r="W32" s="1" t="s">
        <v>72</v>
      </c>
      <c r="X32" s="38">
        <f>B32+D32+F32+H32+J32+L32</f>
        <v>3690</v>
      </c>
      <c r="Y32" s="38">
        <v>0.0058889</v>
      </c>
      <c r="Z32" s="43">
        <f>X32*Y32</f>
        <v>21.730041</v>
      </c>
      <c r="AB32" s="1">
        <v>2</v>
      </c>
    </row>
    <row r="33" spans="1:28" ht="12.75">
      <c r="A33" s="5"/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0.0058889</v>
      </c>
      <c r="Z33" s="2">
        <f>X33*Y33</f>
        <v>0</v>
      </c>
      <c r="AB33" s="1">
        <v>2</v>
      </c>
    </row>
    <row r="34" spans="3:28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0.0058889</v>
      </c>
      <c r="Z34" s="2">
        <f>X34*Y34</f>
        <v>0</v>
      </c>
      <c r="AB34" s="1">
        <v>1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0.0058889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0.29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0.29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0.0061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0.0061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0.0061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0.0061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0.0061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0.0061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0.0061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0.0061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M78" s="1">
        <f>L78*Y78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Y1">
      <selection activeCell="A24" sqref="A24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3.00390625" style="1" customWidth="1"/>
    <col min="24" max="24" width="17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1" t="s">
        <v>14</v>
      </c>
      <c r="P1" s="61" t="s">
        <v>15</v>
      </c>
      <c r="Q1" s="61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42461</v>
      </c>
      <c r="B2" s="1">
        <f>850*2</f>
        <v>1700</v>
      </c>
      <c r="C2" s="1">
        <f>B2*Y2</f>
        <v>10.01113</v>
      </c>
      <c r="E2" s="1">
        <f>D2*Y2</f>
        <v>0</v>
      </c>
      <c r="G2" s="1">
        <f>F2*Y2</f>
        <v>0</v>
      </c>
      <c r="I2" s="1">
        <f>H2*Y2</f>
        <v>0</v>
      </c>
      <c r="K2" s="1">
        <f>J2*Y2</f>
        <v>0</v>
      </c>
      <c r="L2" s="1">
        <v>8000</v>
      </c>
      <c r="M2" s="1">
        <f>L2*Y2</f>
        <v>47.1112</v>
      </c>
      <c r="N2" s="1" t="s">
        <v>26</v>
      </c>
      <c r="O2" s="61"/>
      <c r="P2" s="61"/>
      <c r="Q2" s="61"/>
      <c r="R2" s="61"/>
      <c r="S2" s="61"/>
      <c r="T2" s="61"/>
      <c r="U2" s="61"/>
      <c r="V2" s="1">
        <v>3</v>
      </c>
      <c r="W2" s="1" t="s">
        <v>27</v>
      </c>
      <c r="X2" s="38">
        <f>B2+D2+F2+H2+J2+L2</f>
        <v>9700</v>
      </c>
      <c r="Y2" s="38">
        <v>0.0058889</v>
      </c>
      <c r="Z2" s="43">
        <f>X2*Y2</f>
        <v>57.12233</v>
      </c>
      <c r="AB2" s="1">
        <v>2</v>
      </c>
      <c r="AD2" s="44" t="s">
        <v>28</v>
      </c>
      <c r="AE2" s="44">
        <f>SUM(Z2:Z995)</f>
        <v>3194.3074598000003</v>
      </c>
      <c r="AF2" s="44"/>
      <c r="AG2" s="44" t="s">
        <v>29</v>
      </c>
      <c r="AH2" s="58">
        <f>AE2/AE5</f>
        <v>106.47691532666667</v>
      </c>
      <c r="AJ2" s="44" t="s">
        <v>93</v>
      </c>
      <c r="AK2" s="44">
        <f>COUNTBLANK(L2:L41)-COUNTBLANK(A2:A41)</f>
        <v>20</v>
      </c>
      <c r="AL2" s="7"/>
      <c r="AM2" s="59" t="s">
        <v>289</v>
      </c>
      <c r="AN2" s="59">
        <f>SUMIF(AB2:AB45,"=3",Z2:Z45)</f>
        <v>932.8269785</v>
      </c>
      <c r="AO2" s="7"/>
      <c r="AP2" s="59" t="s">
        <v>32</v>
      </c>
      <c r="AQ2" s="59">
        <f>SUMIF(AB2:AB45,"=2",Z2:Z45)</f>
        <v>2261.4804813</v>
      </c>
    </row>
    <row r="3" spans="1:43" ht="12.75">
      <c r="A3" s="5">
        <v>42462</v>
      </c>
      <c r="B3" s="1">
        <v>1200</v>
      </c>
      <c r="C3" s="1">
        <f>B3*Y3</f>
        <v>7.06668</v>
      </c>
      <c r="D3" s="1">
        <f>1000+1350</f>
        <v>2350</v>
      </c>
      <c r="E3" s="1">
        <f>D3*Y3</f>
        <v>13.838915</v>
      </c>
      <c r="G3" s="1">
        <f>F3*Y3</f>
        <v>0</v>
      </c>
      <c r="I3" s="1">
        <f>H3*Y3</f>
        <v>0</v>
      </c>
      <c r="K3" s="1">
        <f>J3*Y3</f>
        <v>0</v>
      </c>
      <c r="L3" s="1">
        <v>8000</v>
      </c>
      <c r="M3" s="1">
        <f>L3*Y3</f>
        <v>47.1112</v>
      </c>
      <c r="N3" s="1" t="s">
        <v>26</v>
      </c>
      <c r="O3" s="61"/>
      <c r="P3" s="61"/>
      <c r="Q3" s="61"/>
      <c r="R3" s="61"/>
      <c r="S3" s="61"/>
      <c r="T3" s="61"/>
      <c r="U3" s="61"/>
      <c r="W3" s="1" t="s">
        <v>33</v>
      </c>
      <c r="X3" s="38">
        <f>B3+D3+F3+H3+J3+L3</f>
        <v>11550</v>
      </c>
      <c r="Y3" s="38">
        <v>0.0058889</v>
      </c>
      <c r="Z3" s="43">
        <f>X3*Y3</f>
        <v>68.016795</v>
      </c>
      <c r="AB3" s="1">
        <v>2</v>
      </c>
      <c r="AD3" s="49"/>
      <c r="AE3" s="44"/>
      <c r="AF3" s="44"/>
      <c r="AG3" s="49"/>
      <c r="AH3" s="45"/>
      <c r="AJ3" s="44" t="s">
        <v>95</v>
      </c>
      <c r="AK3" s="44">
        <f>COUNT(L2:L37)</f>
        <v>10</v>
      </c>
      <c r="AM3" s="59" t="s">
        <v>290</v>
      </c>
      <c r="AN3" s="59">
        <f>_xlfn.COUNTIFS(A2:A45,"&lt;&gt;''",AB2:AB45,"=3")</f>
        <v>9</v>
      </c>
      <c r="AO3" s="7"/>
      <c r="AP3" s="59" t="s">
        <v>36</v>
      </c>
      <c r="AQ3" s="59">
        <f>_xlfn.COUNTIFS(A2:A45,"&lt;&gt;''",AB2:AB45,"=2")</f>
        <v>21</v>
      </c>
    </row>
    <row r="4" spans="1:43" ht="12.75">
      <c r="A4" s="5">
        <v>42463</v>
      </c>
      <c r="B4" s="1">
        <v>900</v>
      </c>
      <c r="C4" s="1">
        <f>B4*Y4</f>
        <v>5.300009999999999</v>
      </c>
      <c r="D4" s="1">
        <v>5690</v>
      </c>
      <c r="E4" s="1">
        <f>D4*Y4</f>
        <v>33.507841</v>
      </c>
      <c r="G4" s="1">
        <f>F4*Y4</f>
        <v>0</v>
      </c>
      <c r="I4" s="1">
        <f>H4*Y4</f>
        <v>0</v>
      </c>
      <c r="K4" s="1">
        <f>J4*Y4</f>
        <v>0</v>
      </c>
      <c r="M4" s="1">
        <f>L4*Y4</f>
        <v>0</v>
      </c>
      <c r="O4" s="61" t="s">
        <v>26</v>
      </c>
      <c r="P4" s="61"/>
      <c r="Q4" s="61"/>
      <c r="R4" s="61"/>
      <c r="S4" s="61"/>
      <c r="T4" s="61"/>
      <c r="U4" s="61"/>
      <c r="V4" s="1">
        <v>2</v>
      </c>
      <c r="W4" s="1" t="s">
        <v>37</v>
      </c>
      <c r="X4" s="38">
        <f>B4+D4+F4+H4+J4+L4</f>
        <v>6590</v>
      </c>
      <c r="Y4" s="38">
        <v>0.0058889</v>
      </c>
      <c r="Z4" s="43">
        <f>X4*Y4</f>
        <v>38.807851</v>
      </c>
      <c r="AB4" s="1">
        <v>2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291</v>
      </c>
      <c r="AN4" s="59">
        <f>AN2/AN3</f>
        <v>103.64744205555556</v>
      </c>
      <c r="AO4" s="7"/>
      <c r="AP4" s="59" t="s">
        <v>40</v>
      </c>
      <c r="AQ4" s="59">
        <f>AQ2/AQ3</f>
        <v>107.68954672857143</v>
      </c>
    </row>
    <row r="5" spans="1:37" ht="12.75">
      <c r="A5" s="5">
        <v>42464</v>
      </c>
      <c r="C5" s="1">
        <f>B5*Y5</f>
        <v>0</v>
      </c>
      <c r="D5" s="1">
        <f>1060+3260</f>
        <v>4320</v>
      </c>
      <c r="E5" s="1">
        <f>D5*Y5</f>
        <v>25.440048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O5" s="61" t="s">
        <v>26</v>
      </c>
      <c r="P5" s="61"/>
      <c r="Q5" s="61"/>
      <c r="R5" s="61"/>
      <c r="S5" s="61"/>
      <c r="T5" s="61"/>
      <c r="U5" s="61"/>
      <c r="V5" s="1">
        <v>2</v>
      </c>
      <c r="W5" s="1" t="s">
        <v>41</v>
      </c>
      <c r="X5" s="38">
        <f>B5+D5+F5+H5+J5+L5</f>
        <v>4320</v>
      </c>
      <c r="Y5" s="38">
        <v>0.0058889</v>
      </c>
      <c r="Z5" s="43">
        <f>X5*Y5</f>
        <v>25.440048</v>
      </c>
      <c r="AB5" s="1">
        <v>2</v>
      </c>
      <c r="AD5" s="44" t="s">
        <v>42</v>
      </c>
      <c r="AE5" s="44">
        <f>COUNTA(A2:A350)</f>
        <v>30</v>
      </c>
      <c r="AF5" s="44"/>
      <c r="AG5" s="44"/>
      <c r="AH5" s="44"/>
      <c r="AJ5" s="49" t="s">
        <v>13</v>
      </c>
      <c r="AK5" s="44">
        <f>COUNTA(N2:N50)</f>
        <v>2</v>
      </c>
    </row>
    <row r="6" spans="1:37" ht="12.75">
      <c r="A6" s="5">
        <v>42465</v>
      </c>
      <c r="B6" s="1">
        <f>10000+3000</f>
        <v>13000</v>
      </c>
      <c r="C6" s="1">
        <f>B6*Y6</f>
        <v>76.5557</v>
      </c>
      <c r="D6" s="1">
        <v>5755</v>
      </c>
      <c r="E6" s="1">
        <f>D6*Y6</f>
        <v>33.8906195</v>
      </c>
      <c r="G6" s="1">
        <f>F6*Y6</f>
        <v>0</v>
      </c>
      <c r="I6" s="1">
        <f>H6*Y6</f>
        <v>0</v>
      </c>
      <c r="K6" s="1">
        <f>J6*Y6</f>
        <v>0</v>
      </c>
      <c r="L6" s="1">
        <v>22000</v>
      </c>
      <c r="M6" s="1">
        <f>L6*Y6</f>
        <v>129.5558</v>
      </c>
      <c r="O6" s="61"/>
      <c r="P6" s="61" t="s">
        <v>26</v>
      </c>
      <c r="Q6" s="61"/>
      <c r="R6" s="61"/>
      <c r="S6" s="61"/>
      <c r="T6" s="61"/>
      <c r="U6" s="61"/>
      <c r="V6" s="1">
        <v>2</v>
      </c>
      <c r="W6" s="1" t="s">
        <v>43</v>
      </c>
      <c r="X6" s="38">
        <f>B6+D6+F6+H6+J6+L6</f>
        <v>40755</v>
      </c>
      <c r="Y6" s="38">
        <v>0.0058889</v>
      </c>
      <c r="Z6" s="43">
        <f>X6*Y6</f>
        <v>240.0021195</v>
      </c>
      <c r="AB6" s="1">
        <v>2</v>
      </c>
      <c r="AD6" s="49"/>
      <c r="AE6" s="44"/>
      <c r="AF6" s="44"/>
      <c r="AG6" s="44"/>
      <c r="AH6" s="44"/>
      <c r="AJ6" s="49" t="s">
        <v>44</v>
      </c>
      <c r="AK6" s="44">
        <f>COUNTA(P2:P50)</f>
        <v>10</v>
      </c>
    </row>
    <row r="7" spans="1:37" ht="12.75">
      <c r="A7" s="5">
        <v>42466</v>
      </c>
      <c r="B7" s="1">
        <v>600</v>
      </c>
      <c r="C7" s="1">
        <f>B7*Y7</f>
        <v>3.53334</v>
      </c>
      <c r="D7" s="1">
        <v>3350</v>
      </c>
      <c r="E7" s="1">
        <f>D7*Y7</f>
        <v>19.727815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O7" s="61"/>
      <c r="P7" s="61"/>
      <c r="Q7" s="61"/>
      <c r="R7" s="61"/>
      <c r="S7" s="61"/>
      <c r="T7" s="61"/>
      <c r="U7" s="61" t="s">
        <v>26</v>
      </c>
      <c r="V7" s="1">
        <v>1</v>
      </c>
      <c r="W7" s="1" t="s">
        <v>45</v>
      </c>
      <c r="X7" s="38">
        <f>B7+D7+F7+H7+J7+L7</f>
        <v>3950</v>
      </c>
      <c r="Y7" s="38">
        <v>0.0058889</v>
      </c>
      <c r="Z7" s="43">
        <f>X7*Y7</f>
        <v>23.261155</v>
      </c>
      <c r="AB7" s="1">
        <v>2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COUNTA(Q2:Q50)</f>
        <v>15</v>
      </c>
    </row>
    <row r="8" spans="1:37" ht="12.75">
      <c r="A8" s="5">
        <v>42467</v>
      </c>
      <c r="C8" s="1">
        <f>B8*Y8</f>
        <v>0</v>
      </c>
      <c r="D8" s="1">
        <v>4950</v>
      </c>
      <c r="E8" s="1">
        <f>D8*Y8</f>
        <v>29.150055</v>
      </c>
      <c r="F8" s="1">
        <v>5000</v>
      </c>
      <c r="G8" s="1">
        <f>F8*Y8</f>
        <v>29.444499999999998</v>
      </c>
      <c r="I8" s="1">
        <f>H8*Y8</f>
        <v>0</v>
      </c>
      <c r="K8" s="1">
        <f>J8*Y8</f>
        <v>0</v>
      </c>
      <c r="M8" s="1">
        <f>L8*Y8</f>
        <v>0</v>
      </c>
      <c r="O8" s="61"/>
      <c r="P8" s="61"/>
      <c r="Q8" s="61" t="s">
        <v>26</v>
      </c>
      <c r="R8" s="61"/>
      <c r="S8" s="61"/>
      <c r="T8" s="61"/>
      <c r="U8" s="61"/>
      <c r="V8" s="1">
        <v>1</v>
      </c>
      <c r="W8" s="1" t="s">
        <v>47</v>
      </c>
      <c r="X8" s="38">
        <f>B8+D8+F8+H8+J8+L8</f>
        <v>9950</v>
      </c>
      <c r="Y8" s="38">
        <v>0.0058889</v>
      </c>
      <c r="Z8" s="43">
        <f>X8*Y8</f>
        <v>58.594555</v>
      </c>
      <c r="AB8" s="1">
        <v>2</v>
      </c>
      <c r="AD8" s="44" t="s">
        <v>48</v>
      </c>
      <c r="AE8" s="54">
        <f>SUM(M2:M995)</f>
        <v>483.2182000000002</v>
      </c>
      <c r="AF8" s="44"/>
      <c r="AG8" s="44" t="s">
        <v>11</v>
      </c>
      <c r="AH8" s="54">
        <f>AE8/$AE$5</f>
        <v>16.10727333333334</v>
      </c>
      <c r="AJ8" s="49" t="s">
        <v>14</v>
      </c>
      <c r="AK8" s="44">
        <f>COUNTA(O2:O50)</f>
        <v>2</v>
      </c>
    </row>
    <row r="9" spans="1:37" ht="12.75">
      <c r="A9" s="5">
        <v>42468</v>
      </c>
      <c r="C9" s="1">
        <f>B9*Y9</f>
        <v>0</v>
      </c>
      <c r="D9" s="1">
        <v>1000</v>
      </c>
      <c r="E9" s="1">
        <f>D9*Y9</f>
        <v>5.8889</v>
      </c>
      <c r="G9" s="1">
        <f>F9*Y9</f>
        <v>0</v>
      </c>
      <c r="H9" s="1">
        <v>8000</v>
      </c>
      <c r="I9" s="1">
        <f>H9*Y9</f>
        <v>47.1112</v>
      </c>
      <c r="K9" s="1">
        <f>J9*Y9</f>
        <v>0</v>
      </c>
      <c r="M9" s="1">
        <f>L9*Y9</f>
        <v>0</v>
      </c>
      <c r="O9" s="61"/>
      <c r="P9" s="61"/>
      <c r="Q9" s="61" t="s">
        <v>26</v>
      </c>
      <c r="R9" s="61"/>
      <c r="S9" s="61"/>
      <c r="T9" s="61"/>
      <c r="U9" s="61"/>
      <c r="W9" s="1" t="s">
        <v>49</v>
      </c>
      <c r="X9" s="38">
        <f>B9+D9+F9+H9+J9+L9</f>
        <v>9000</v>
      </c>
      <c r="Y9" s="38">
        <v>0.0058889</v>
      </c>
      <c r="Z9" s="43">
        <f>X9*Y9</f>
        <v>53.000099999999996</v>
      </c>
      <c r="AB9" s="1">
        <v>2</v>
      </c>
      <c r="AD9" s="44" t="s">
        <v>50</v>
      </c>
      <c r="AE9" s="44">
        <f>SUM(C2:C995)</f>
        <v>125.02686</v>
      </c>
      <c r="AF9" s="44"/>
      <c r="AG9" s="44" t="s">
        <v>1</v>
      </c>
      <c r="AH9" s="44">
        <f>AE9/$AE$5</f>
        <v>4.167562</v>
      </c>
      <c r="AJ9" s="49" t="s">
        <v>53</v>
      </c>
      <c r="AK9" s="44">
        <f>COUNTA(U2:U50)</f>
        <v>1</v>
      </c>
    </row>
    <row r="10" spans="1:34" ht="12.75">
      <c r="A10" s="5">
        <v>42469</v>
      </c>
      <c r="C10" s="1">
        <f>B10*Y10</f>
        <v>0</v>
      </c>
      <c r="D10" s="1">
        <v>3370</v>
      </c>
      <c r="E10" s="1">
        <f>D10*Y10</f>
        <v>19.845593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O10" s="61"/>
      <c r="P10" s="61"/>
      <c r="Q10" s="61" t="s">
        <v>26</v>
      </c>
      <c r="R10" s="61"/>
      <c r="S10" s="61"/>
      <c r="T10" s="61"/>
      <c r="U10" s="61"/>
      <c r="W10" s="1" t="s">
        <v>49</v>
      </c>
      <c r="X10" s="38">
        <f>B10+D10+F10+H10+J10+L10</f>
        <v>3370</v>
      </c>
      <c r="Y10" s="38">
        <v>0.0058889</v>
      </c>
      <c r="Z10" s="43">
        <f>X10*Y10</f>
        <v>19.845593</v>
      </c>
      <c r="AB10" s="1">
        <v>2</v>
      </c>
      <c r="AD10" s="44" t="s">
        <v>51</v>
      </c>
      <c r="AE10" s="54">
        <f>SUM(E2:E995)</f>
        <v>439.99912130000007</v>
      </c>
      <c r="AF10" s="44"/>
      <c r="AG10" s="44" t="s">
        <v>52</v>
      </c>
      <c r="AH10" s="44">
        <f>AE10/$AE$5</f>
        <v>14.66663737666667</v>
      </c>
    </row>
    <row r="11" spans="1:34" ht="12.75">
      <c r="A11" s="5">
        <v>42470</v>
      </c>
      <c r="C11" s="1">
        <f>B11*Y11</f>
        <v>0</v>
      </c>
      <c r="D11" s="1">
        <v>3440</v>
      </c>
      <c r="E11" s="1">
        <f>D11*Y11</f>
        <v>20.257816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O11" s="61"/>
      <c r="P11" s="61"/>
      <c r="Q11" s="61" t="s">
        <v>26</v>
      </c>
      <c r="R11" s="61"/>
      <c r="S11" s="61"/>
      <c r="T11" s="61"/>
      <c r="U11" s="61"/>
      <c r="W11" s="1" t="s">
        <v>49</v>
      </c>
      <c r="X11" s="38">
        <f>B11+D11+F11+H11+J11+L11</f>
        <v>3440</v>
      </c>
      <c r="Y11" s="38">
        <v>0.0058889</v>
      </c>
      <c r="Z11" s="43">
        <f>X11*Y11</f>
        <v>20.257816</v>
      </c>
      <c r="AB11" s="1">
        <v>2</v>
      </c>
      <c r="AD11" s="44" t="s">
        <v>54</v>
      </c>
      <c r="AE11" s="54">
        <f>SUM(G2:G995)</f>
        <v>276.3626</v>
      </c>
      <c r="AF11" s="44"/>
      <c r="AG11" s="44" t="s">
        <v>55</v>
      </c>
      <c r="AH11" s="54">
        <f>AE11/$AE$5</f>
        <v>9.212086666666666</v>
      </c>
    </row>
    <row r="12" spans="1:34" ht="12.75">
      <c r="A12" s="5">
        <v>42471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O12" s="61"/>
      <c r="P12" s="61"/>
      <c r="Q12" s="61" t="s">
        <v>26</v>
      </c>
      <c r="R12" s="61"/>
      <c r="S12" s="61"/>
      <c r="T12" s="61"/>
      <c r="U12" s="61"/>
      <c r="W12" s="1" t="s">
        <v>49</v>
      </c>
      <c r="X12" s="38">
        <f>B12+D12+F12+H12+J12+L12</f>
        <v>0</v>
      </c>
      <c r="Y12" s="38">
        <v>0.0058889</v>
      </c>
      <c r="Z12" s="43">
        <f>X12*Y12</f>
        <v>0</v>
      </c>
      <c r="AB12" s="1">
        <v>2</v>
      </c>
      <c r="AD12" s="44" t="s">
        <v>57</v>
      </c>
      <c r="AE12" s="54">
        <f>SUM(K2:K995)</f>
        <v>68.0548285</v>
      </c>
      <c r="AF12" s="44"/>
      <c r="AG12" s="44" t="s">
        <v>9</v>
      </c>
      <c r="AH12" s="54">
        <f>AE12/$AE$5</f>
        <v>2.2684942833333333</v>
      </c>
    </row>
    <row r="13" spans="1:34" ht="12.75">
      <c r="A13" s="5">
        <v>42472</v>
      </c>
      <c r="C13" s="1">
        <f>B13*Y13</f>
        <v>0</v>
      </c>
      <c r="E13" s="1">
        <f>D13*Y13</f>
        <v>0</v>
      </c>
      <c r="G13" s="1">
        <f>F13*Y13</f>
        <v>0</v>
      </c>
      <c r="H13" s="1">
        <v>6000</v>
      </c>
      <c r="I13" s="1">
        <f>H13*Y13</f>
        <v>35.3334</v>
      </c>
      <c r="K13" s="1">
        <f>J13*Y13</f>
        <v>0</v>
      </c>
      <c r="M13" s="1">
        <f>L13*Y13</f>
        <v>0</v>
      </c>
      <c r="O13" s="61"/>
      <c r="P13" s="61"/>
      <c r="Q13" s="61" t="s">
        <v>26</v>
      </c>
      <c r="R13" s="61"/>
      <c r="S13" s="61"/>
      <c r="T13" s="61"/>
      <c r="U13" s="61"/>
      <c r="W13" s="1" t="s">
        <v>49</v>
      </c>
      <c r="X13" s="38">
        <f>B13+D13+F13+H13+J13+L13</f>
        <v>6000</v>
      </c>
      <c r="Y13" s="38">
        <v>0.0058889</v>
      </c>
      <c r="Z13" s="43">
        <f>X13*Y13</f>
        <v>35.3334</v>
      </c>
      <c r="AB13" s="1">
        <v>2</v>
      </c>
      <c r="AD13" s="44" t="s">
        <v>58</v>
      </c>
      <c r="AE13" s="44">
        <f>SUM(I2:I995)</f>
        <v>1801.64585</v>
      </c>
      <c r="AF13" s="44"/>
      <c r="AG13" s="44" t="s">
        <v>7</v>
      </c>
      <c r="AH13" s="54">
        <f>AE13/$AE$5</f>
        <v>60.05486166666667</v>
      </c>
    </row>
    <row r="14" spans="1:28" ht="12.75">
      <c r="A14" s="5">
        <v>-614964</v>
      </c>
      <c r="C14" s="1">
        <f>B14*Y14</f>
        <v>0</v>
      </c>
      <c r="D14" s="1">
        <f>890+850+1300</f>
        <v>3040</v>
      </c>
      <c r="E14" s="1">
        <f>D14*Y14</f>
        <v>17.902256</v>
      </c>
      <c r="F14" s="1">
        <v>6000</v>
      </c>
      <c r="G14" s="1">
        <f>F14*Y14</f>
        <v>35.3334</v>
      </c>
      <c r="I14" s="1">
        <f>H14*Y14</f>
        <v>0</v>
      </c>
      <c r="K14" s="1">
        <f>J14*Y14</f>
        <v>0</v>
      </c>
      <c r="M14" s="1">
        <f>L14*Y14</f>
        <v>0</v>
      </c>
      <c r="O14" s="61"/>
      <c r="P14" s="61"/>
      <c r="Q14" s="61" t="s">
        <v>26</v>
      </c>
      <c r="R14" s="61"/>
      <c r="S14" s="61"/>
      <c r="T14" s="61"/>
      <c r="U14" s="61"/>
      <c r="W14" s="1" t="s">
        <v>49</v>
      </c>
      <c r="X14" s="38">
        <f>B14+D14+F14+H14+J14+L14</f>
        <v>9040</v>
      </c>
      <c r="Y14" s="38">
        <v>0.0058889</v>
      </c>
      <c r="Z14" s="43">
        <f>X14*Y14</f>
        <v>53.235656</v>
      </c>
      <c r="AB14" s="1">
        <v>2</v>
      </c>
    </row>
    <row r="15" spans="1:31" ht="12.75">
      <c r="A15" s="5">
        <v>42474</v>
      </c>
      <c r="C15" s="1">
        <f>B15*Y15</f>
        <v>0</v>
      </c>
      <c r="E15" s="1">
        <f>D15*Y15</f>
        <v>0</v>
      </c>
      <c r="F15" s="1">
        <v>7000</v>
      </c>
      <c r="G15" s="1">
        <f>F15*Y15</f>
        <v>41.2223</v>
      </c>
      <c r="H15" s="1">
        <v>30000</v>
      </c>
      <c r="I15" s="1">
        <f>H15*Y15</f>
        <v>176.667</v>
      </c>
      <c r="J15" s="1">
        <v>1000</v>
      </c>
      <c r="K15" s="1">
        <f>J15*Y15</f>
        <v>5.8889</v>
      </c>
      <c r="M15" s="1">
        <f>L15*Y15</f>
        <v>0</v>
      </c>
      <c r="O15" s="61"/>
      <c r="P15" s="61"/>
      <c r="Q15" s="61" t="s">
        <v>26</v>
      </c>
      <c r="R15" s="61"/>
      <c r="S15" s="61"/>
      <c r="T15" s="61"/>
      <c r="U15" s="61"/>
      <c r="W15" s="1" t="s">
        <v>49</v>
      </c>
      <c r="X15" s="38">
        <f>B15+D15+F15+H15+J15+L15</f>
        <v>38000</v>
      </c>
      <c r="Y15" s="38">
        <v>0.0058889</v>
      </c>
      <c r="Z15" s="43">
        <f>X15*Y15</f>
        <v>223.7782</v>
      </c>
      <c r="AB15" s="1">
        <v>2</v>
      </c>
      <c r="AD15" s="8"/>
      <c r="AE15" s="8"/>
    </row>
    <row r="16" spans="1:30" ht="12.75">
      <c r="A16" s="5">
        <v>42475</v>
      </c>
      <c r="C16" s="1">
        <f>B16*Y16</f>
        <v>0</v>
      </c>
      <c r="E16" s="1">
        <f>D16*Y16</f>
        <v>0</v>
      </c>
      <c r="F16" s="1">
        <v>5000</v>
      </c>
      <c r="G16" s="1">
        <f>F16*Y16</f>
        <v>29.444499999999998</v>
      </c>
      <c r="H16" s="1">
        <f>17000*2</f>
        <v>34000</v>
      </c>
      <c r="I16" s="1">
        <f>H16*Y16</f>
        <v>200.2226</v>
      </c>
      <c r="K16" s="1">
        <f>J16*Y16</f>
        <v>0</v>
      </c>
      <c r="M16" s="1">
        <f>L16*Y16</f>
        <v>0</v>
      </c>
      <c r="O16" s="61"/>
      <c r="P16" s="61"/>
      <c r="Q16" s="61" t="s">
        <v>26</v>
      </c>
      <c r="R16" s="61"/>
      <c r="S16" s="61"/>
      <c r="T16" s="61"/>
      <c r="U16" s="61"/>
      <c r="W16" s="1" t="s">
        <v>49</v>
      </c>
      <c r="X16" s="38">
        <f>B16+D16+F16+H16+J16+L16</f>
        <v>39000</v>
      </c>
      <c r="Y16" s="38">
        <v>0.0058889</v>
      </c>
      <c r="Z16" s="43">
        <f>X16*Y16</f>
        <v>229.6671</v>
      </c>
      <c r="AB16" s="1">
        <v>2</v>
      </c>
      <c r="AD16" s="8"/>
    </row>
    <row r="17" spans="1:28" ht="12.75">
      <c r="A17" s="5">
        <v>42476</v>
      </c>
      <c r="C17" s="1">
        <f>B17*Y17</f>
        <v>0</v>
      </c>
      <c r="D17" s="1">
        <v>1480</v>
      </c>
      <c r="E17" s="1">
        <f>D17*Y17</f>
        <v>8.715572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O17" s="61"/>
      <c r="P17" s="61"/>
      <c r="Q17" s="61" t="s">
        <v>26</v>
      </c>
      <c r="R17" s="61"/>
      <c r="S17" s="61"/>
      <c r="T17" s="61"/>
      <c r="U17" s="61"/>
      <c r="W17" s="1" t="s">
        <v>49</v>
      </c>
      <c r="X17" s="38">
        <f>B17+D17+F17+H17+J17+L17</f>
        <v>1480</v>
      </c>
      <c r="Y17" s="38">
        <v>0.0058889</v>
      </c>
      <c r="Z17" s="43">
        <f>X17*Y17</f>
        <v>8.715572</v>
      </c>
      <c r="AB17" s="1">
        <v>2</v>
      </c>
    </row>
    <row r="18" spans="1:28" ht="12.75">
      <c r="A18" s="5">
        <v>42477</v>
      </c>
      <c r="C18" s="1">
        <f>B18*Y18</f>
        <v>0</v>
      </c>
      <c r="D18" s="1">
        <f>700+512</f>
        <v>1212</v>
      </c>
      <c r="E18" s="1">
        <f>D18*Y18</f>
        <v>7.1373467999999995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O18" s="61"/>
      <c r="P18" s="61"/>
      <c r="Q18" s="61" t="s">
        <v>26</v>
      </c>
      <c r="R18" s="61"/>
      <c r="S18" s="61"/>
      <c r="T18" s="61"/>
      <c r="U18" s="61"/>
      <c r="W18" s="1" t="s">
        <v>49</v>
      </c>
      <c r="X18" s="38">
        <f>B18+D18+F18+H18+J18+L18</f>
        <v>1212</v>
      </c>
      <c r="Y18" s="38">
        <v>0.0058889</v>
      </c>
      <c r="Z18" s="43">
        <f>X18*Y18</f>
        <v>7.1373467999999995</v>
      </c>
      <c r="AB18" s="1">
        <v>2</v>
      </c>
    </row>
    <row r="19" spans="1:28" ht="12.75">
      <c r="A19" s="5">
        <v>42478</v>
      </c>
      <c r="C19" s="1">
        <f>B19*Y19</f>
        <v>0</v>
      </c>
      <c r="D19" s="1">
        <v>1190</v>
      </c>
      <c r="E19" s="1">
        <f>D19*Y19</f>
        <v>7.007791</v>
      </c>
      <c r="G19" s="1">
        <f>F19*Y19</f>
        <v>0</v>
      </c>
      <c r="I19" s="1">
        <f>H19*Y19</f>
        <v>0</v>
      </c>
      <c r="K19" s="1">
        <f>J19*Y19</f>
        <v>0</v>
      </c>
      <c r="M19" s="1">
        <f>L19*Y19</f>
        <v>0</v>
      </c>
      <c r="O19" s="61"/>
      <c r="P19" s="61"/>
      <c r="Q19" s="61" t="s">
        <v>26</v>
      </c>
      <c r="R19" s="61"/>
      <c r="S19" s="61"/>
      <c r="T19" s="61"/>
      <c r="U19" s="61"/>
      <c r="W19" s="1" t="s">
        <v>49</v>
      </c>
      <c r="X19" s="38">
        <f>B19+D19+F19+H19+J19+L19</f>
        <v>1190</v>
      </c>
      <c r="Y19" s="38">
        <v>0.0058889</v>
      </c>
      <c r="Z19" s="43">
        <f>X19*Y19</f>
        <v>7.007791</v>
      </c>
      <c r="AB19" s="1">
        <v>2</v>
      </c>
    </row>
    <row r="20" spans="1:28" ht="12.75">
      <c r="A20" s="5">
        <v>42479</v>
      </c>
      <c r="C20" s="1">
        <f>B20*Y20</f>
        <v>0</v>
      </c>
      <c r="D20" s="1">
        <v>1800</v>
      </c>
      <c r="E20" s="1">
        <f>D20*Y20</f>
        <v>10.600019999999999</v>
      </c>
      <c r="G20" s="1">
        <f>F20*Y20</f>
        <v>0</v>
      </c>
      <c r="H20" s="1">
        <v>10000</v>
      </c>
      <c r="I20" s="1">
        <f>H20*Y20</f>
        <v>58.888999999999996</v>
      </c>
      <c r="K20" s="1">
        <f>J20*Y20</f>
        <v>0</v>
      </c>
      <c r="M20" s="1">
        <f>L20*Y20</f>
        <v>0</v>
      </c>
      <c r="O20" s="61"/>
      <c r="P20" s="61"/>
      <c r="Q20" s="61" t="s">
        <v>26</v>
      </c>
      <c r="R20" s="61"/>
      <c r="S20" s="61"/>
      <c r="T20" s="61"/>
      <c r="U20" s="61"/>
      <c r="W20" s="1" t="s">
        <v>49</v>
      </c>
      <c r="X20" s="38">
        <f>B20+D20+F20+H20+J20+L20</f>
        <v>11800</v>
      </c>
      <c r="Y20" s="38">
        <v>0.0058889</v>
      </c>
      <c r="Z20" s="43">
        <f>X20*Y20</f>
        <v>69.48902</v>
      </c>
      <c r="AB20" s="1">
        <v>2</v>
      </c>
    </row>
    <row r="21" spans="1:28" ht="12.75">
      <c r="A21" s="5">
        <v>42480</v>
      </c>
      <c r="C21" s="1">
        <f>B21*Y21</f>
        <v>0</v>
      </c>
      <c r="D21" s="1">
        <f>710</f>
        <v>710</v>
      </c>
      <c r="E21" s="1">
        <f>D21*Y21</f>
        <v>4.181119</v>
      </c>
      <c r="F21" s="1">
        <v>6000</v>
      </c>
      <c r="G21" s="1">
        <f>F21*Y21</f>
        <v>35.3334</v>
      </c>
      <c r="I21" s="1">
        <f>H21*Y21</f>
        <v>0</v>
      </c>
      <c r="K21" s="1">
        <f>J21*Y21</f>
        <v>0</v>
      </c>
      <c r="M21" s="1">
        <f>L21*Y21</f>
        <v>0</v>
      </c>
      <c r="O21" s="61"/>
      <c r="P21" s="61"/>
      <c r="Q21" s="61" t="s">
        <v>26</v>
      </c>
      <c r="R21" s="61"/>
      <c r="S21" s="61"/>
      <c r="T21" s="61"/>
      <c r="U21" s="61"/>
      <c r="W21" s="1" t="s">
        <v>49</v>
      </c>
      <c r="X21" s="38">
        <f>B21+D21+F21+H21+J21+L21</f>
        <v>6710</v>
      </c>
      <c r="Y21" s="38">
        <v>0.0058889</v>
      </c>
      <c r="Z21" s="43">
        <f>X21*Y21</f>
        <v>39.514519</v>
      </c>
      <c r="AB21" s="1">
        <v>2</v>
      </c>
    </row>
    <row r="22" spans="1:28" ht="12.75">
      <c r="A22" s="5">
        <v>42481</v>
      </c>
      <c r="C22" s="1">
        <f>B22*Y22</f>
        <v>0</v>
      </c>
      <c r="D22" s="1">
        <f>6460+800</f>
        <v>7260</v>
      </c>
      <c r="E22" s="1">
        <f>D22*Y22</f>
        <v>42.753414</v>
      </c>
      <c r="F22" s="1">
        <f>5000</f>
        <v>5000</v>
      </c>
      <c r="G22" s="1">
        <f>F22*Y22</f>
        <v>29.444499999999998</v>
      </c>
      <c r="H22" s="1">
        <v>4000</v>
      </c>
      <c r="I22" s="1">
        <f>H22*Y22</f>
        <v>23.5556</v>
      </c>
      <c r="K22" s="1">
        <f>J22*Y22</f>
        <v>0</v>
      </c>
      <c r="M22" s="1">
        <f>L22*Y22</f>
        <v>0</v>
      </c>
      <c r="O22" s="61"/>
      <c r="P22" s="61"/>
      <c r="Q22" s="61" t="s">
        <v>26</v>
      </c>
      <c r="R22" s="61"/>
      <c r="S22" s="61"/>
      <c r="T22" s="61"/>
      <c r="U22" s="61"/>
      <c r="W22" s="1" t="s">
        <v>49</v>
      </c>
      <c r="X22" s="38">
        <f>B22+D22+F22+H22+J22+L22</f>
        <v>16260</v>
      </c>
      <c r="Y22" s="38">
        <v>0.0058889</v>
      </c>
      <c r="Z22" s="43">
        <f>X22*Y22</f>
        <v>95.753514</v>
      </c>
      <c r="AB22" s="1">
        <v>2</v>
      </c>
    </row>
    <row r="23" spans="1:28" ht="12.75">
      <c r="A23" s="5"/>
      <c r="C23" s="1">
        <f>B23*Y23</f>
        <v>0</v>
      </c>
      <c r="E23" s="1">
        <f>D23*Y23</f>
        <v>0</v>
      </c>
      <c r="G23" s="1">
        <f>F23*Y23</f>
        <v>0</v>
      </c>
      <c r="H23" s="1">
        <v>250</v>
      </c>
      <c r="I23" s="1">
        <f>H23*Y23</f>
        <v>887.5</v>
      </c>
      <c r="K23" s="1">
        <f>J23*Y23</f>
        <v>0</v>
      </c>
      <c r="M23" s="1">
        <f>L23*Y23</f>
        <v>0</v>
      </c>
      <c r="O23" s="61"/>
      <c r="P23" s="61"/>
      <c r="Q23" s="61"/>
      <c r="R23" s="61"/>
      <c r="S23" s="61"/>
      <c r="T23" s="61"/>
      <c r="U23" s="61"/>
      <c r="X23" s="38">
        <f>B23+D23+F23+H23+J23+L23</f>
        <v>250</v>
      </c>
      <c r="Y23" s="38">
        <v>3.55</v>
      </c>
      <c r="Z23" s="43">
        <f>X23*Y23</f>
        <v>887.5</v>
      </c>
      <c r="AB23" s="1">
        <v>2</v>
      </c>
    </row>
    <row r="24" spans="1:28" ht="12.75">
      <c r="A24" s="5">
        <v>42482</v>
      </c>
      <c r="C24" s="1">
        <f>B24*Y24</f>
        <v>0</v>
      </c>
      <c r="E24" s="1">
        <f>D24*Y24</f>
        <v>0</v>
      </c>
      <c r="G24" s="1">
        <f>F24*Y24</f>
        <v>0</v>
      </c>
      <c r="H24" s="1">
        <v>300</v>
      </c>
      <c r="I24" s="1">
        <f>H24*Y24</f>
        <v>203.16705</v>
      </c>
      <c r="J24" s="1">
        <v>6</v>
      </c>
      <c r="K24" s="1">
        <f>J24*Y24</f>
        <v>4.063340999999999</v>
      </c>
      <c r="M24" s="1">
        <f>L24*Y24</f>
        <v>0</v>
      </c>
      <c r="O24" s="61"/>
      <c r="P24" s="61" t="s">
        <v>26</v>
      </c>
      <c r="Q24" s="61"/>
      <c r="R24" s="61"/>
      <c r="S24" s="61"/>
      <c r="T24" s="61"/>
      <c r="U24" s="61"/>
      <c r="W24" s="1" t="s">
        <v>292</v>
      </c>
      <c r="X24" s="38">
        <f>B24+D24+F24+H24+J24+L24</f>
        <v>306</v>
      </c>
      <c r="Y24" s="38">
        <f>0.0058889*115</f>
        <v>0.6772235</v>
      </c>
      <c r="Z24" s="43">
        <f>X24*Y24</f>
        <v>207.230391</v>
      </c>
      <c r="AB24" s="1">
        <v>3</v>
      </c>
    </row>
    <row r="25" spans="1:28" ht="12.75">
      <c r="A25" s="5">
        <v>42483</v>
      </c>
      <c r="C25" s="1">
        <f>B25*Y25</f>
        <v>0</v>
      </c>
      <c r="E25" s="1">
        <f>D25*Y25</f>
        <v>0</v>
      </c>
      <c r="G25" s="1">
        <f>F25*Y25</f>
        <v>0</v>
      </c>
      <c r="I25" s="1">
        <f>H25*Y25</f>
        <v>0</v>
      </c>
      <c r="J25" s="1">
        <f>20+5</f>
        <v>25</v>
      </c>
      <c r="K25" s="1">
        <f>J25*Y25</f>
        <v>16.930587499999998</v>
      </c>
      <c r="M25" s="1">
        <f>L25*Y25</f>
        <v>0</v>
      </c>
      <c r="O25" s="61"/>
      <c r="P25" s="61" t="s">
        <v>26</v>
      </c>
      <c r="Q25" s="61"/>
      <c r="R25" s="61"/>
      <c r="S25" s="61"/>
      <c r="T25" s="61"/>
      <c r="U25" s="61"/>
      <c r="W25" s="1" t="s">
        <v>293</v>
      </c>
      <c r="X25" s="38">
        <f>B25+D25+F25+H25+J25+L25</f>
        <v>25</v>
      </c>
      <c r="Y25" s="38">
        <f>0.0058889*115</f>
        <v>0.6772235</v>
      </c>
      <c r="Z25" s="43">
        <f>X25*Y25</f>
        <v>16.930587499999998</v>
      </c>
      <c r="AB25" s="1">
        <v>3</v>
      </c>
    </row>
    <row r="26" spans="1:28" ht="12.75">
      <c r="A26" s="5">
        <v>42484</v>
      </c>
      <c r="C26" s="1">
        <f>B26*Y26</f>
        <v>0</v>
      </c>
      <c r="D26" s="1">
        <v>7</v>
      </c>
      <c r="E26" s="1">
        <f>D26*Y26</f>
        <v>3.9480000000000004</v>
      </c>
      <c r="F26" s="1">
        <v>32</v>
      </c>
      <c r="G26" s="1">
        <f>F26*Y26</f>
        <v>18.048000000000002</v>
      </c>
      <c r="H26" s="1">
        <v>60</v>
      </c>
      <c r="I26" s="1">
        <f>H26*Y26</f>
        <v>33.84</v>
      </c>
      <c r="K26" s="1">
        <f>J26*Y26</f>
        <v>0</v>
      </c>
      <c r="L26" s="1">
        <v>100</v>
      </c>
      <c r="M26" s="1">
        <f>L26*Y26</f>
        <v>56.400000000000006</v>
      </c>
      <c r="O26" s="61"/>
      <c r="P26" s="61" t="s">
        <v>26</v>
      </c>
      <c r="Q26" s="61"/>
      <c r="R26" s="61"/>
      <c r="S26" s="61"/>
      <c r="T26" s="61"/>
      <c r="U26" s="61"/>
      <c r="W26" s="1" t="s">
        <v>294</v>
      </c>
      <c r="X26" s="38">
        <f>B26+D26+F26+H26+J26+L26</f>
        <v>199</v>
      </c>
      <c r="Y26" s="38">
        <v>0.5640000000000001</v>
      </c>
      <c r="Z26" s="43">
        <f>X26*Y26</f>
        <v>112.23600000000002</v>
      </c>
      <c r="AB26" s="1">
        <v>3</v>
      </c>
    </row>
    <row r="27" spans="1:28" ht="12.75">
      <c r="A27" s="5">
        <v>42485</v>
      </c>
      <c r="B27" s="1">
        <v>40</v>
      </c>
      <c r="C27" s="1">
        <f>B27*Y27</f>
        <v>22.560000000000002</v>
      </c>
      <c r="D27" s="1">
        <f>3+3+8+67.2</f>
        <v>81.2</v>
      </c>
      <c r="E27" s="1">
        <f>D27*Y27</f>
        <v>45.796800000000005</v>
      </c>
      <c r="F27" s="1">
        <v>20</v>
      </c>
      <c r="G27" s="1">
        <f>F27*Y27</f>
        <v>11.280000000000001</v>
      </c>
      <c r="I27" s="1">
        <f>H27*Y27</f>
        <v>0</v>
      </c>
      <c r="K27" s="1">
        <f>J27*Y27</f>
        <v>0</v>
      </c>
      <c r="L27" s="1">
        <v>60</v>
      </c>
      <c r="M27" s="1">
        <f>L27*Y27</f>
        <v>33.84</v>
      </c>
      <c r="O27" s="61"/>
      <c r="P27" s="61" t="s">
        <v>26</v>
      </c>
      <c r="Q27" s="61"/>
      <c r="R27" s="61"/>
      <c r="S27" s="61"/>
      <c r="T27" s="61"/>
      <c r="U27" s="61"/>
      <c r="W27" s="1" t="s">
        <v>295</v>
      </c>
      <c r="X27" s="38">
        <f>B27+D27+F27+H27+J27+L27</f>
        <v>201.2</v>
      </c>
      <c r="Y27" s="38">
        <v>0.5640000000000001</v>
      </c>
      <c r="Z27" s="43">
        <f>X27*Y27</f>
        <v>113.47680000000001</v>
      </c>
      <c r="AB27" s="1">
        <v>3</v>
      </c>
    </row>
    <row r="28" spans="1:28" ht="12.75">
      <c r="A28" s="5">
        <v>42486</v>
      </c>
      <c r="C28" s="1">
        <f>B28*Y28</f>
        <v>0</v>
      </c>
      <c r="D28" s="1">
        <f>13.8+3+2</f>
        <v>18.8</v>
      </c>
      <c r="E28" s="1">
        <f>D28*Y28</f>
        <v>10.603200000000001</v>
      </c>
      <c r="F28" s="1">
        <v>24</v>
      </c>
      <c r="G28" s="1">
        <f>F28*Y28</f>
        <v>13.536000000000001</v>
      </c>
      <c r="I28" s="1">
        <f>H28*Y28</f>
        <v>0</v>
      </c>
      <c r="K28" s="1">
        <f>J28*Y28</f>
        <v>0</v>
      </c>
      <c r="L28" s="1">
        <v>60</v>
      </c>
      <c r="M28" s="1">
        <f>L28*Y28</f>
        <v>33.84</v>
      </c>
      <c r="O28" s="61"/>
      <c r="P28" s="61" t="s">
        <v>26</v>
      </c>
      <c r="Q28" s="61"/>
      <c r="R28" s="61"/>
      <c r="S28" s="61"/>
      <c r="T28" s="61"/>
      <c r="U28" s="61"/>
      <c r="W28" s="1" t="s">
        <v>296</v>
      </c>
      <c r="X28" s="38">
        <f>B28+D28+F28+H28+J28+L28</f>
        <v>102.8</v>
      </c>
      <c r="Y28" s="38">
        <v>0.5640000000000001</v>
      </c>
      <c r="Z28" s="43">
        <f>X28*Y28</f>
        <v>57.979200000000006</v>
      </c>
      <c r="AB28" s="1">
        <v>3</v>
      </c>
    </row>
    <row r="29" spans="1:28" ht="12.75">
      <c r="A29" s="5">
        <v>42487</v>
      </c>
      <c r="C29" s="1">
        <f>B29*Y29</f>
        <v>0</v>
      </c>
      <c r="D29" s="1">
        <f>21.5+4</f>
        <v>25.5</v>
      </c>
      <c r="E29" s="1">
        <f>D29*Y29</f>
        <v>14.382000000000001</v>
      </c>
      <c r="F29" s="1">
        <f>16+3</f>
        <v>19</v>
      </c>
      <c r="G29" s="1">
        <f>F29*Y29</f>
        <v>10.716000000000001</v>
      </c>
      <c r="H29" s="1">
        <f>140+100</f>
        <v>240</v>
      </c>
      <c r="I29" s="1">
        <f>H29*Y29</f>
        <v>135.36</v>
      </c>
      <c r="K29" s="1">
        <f>J29*Y29</f>
        <v>0</v>
      </c>
      <c r="L29" s="1">
        <v>60</v>
      </c>
      <c r="M29" s="1">
        <f>L29*Y29</f>
        <v>33.84</v>
      </c>
      <c r="O29" s="61"/>
      <c r="P29" s="61" t="s">
        <v>26</v>
      </c>
      <c r="Q29" s="61"/>
      <c r="R29" s="61"/>
      <c r="S29" s="61"/>
      <c r="T29" s="61"/>
      <c r="U29" s="61"/>
      <c r="W29" s="1" t="s">
        <v>296</v>
      </c>
      <c r="X29" s="38">
        <f>B29+D29+F29+H29+J29+L29</f>
        <v>344.5</v>
      </c>
      <c r="Y29" s="38">
        <v>0.5640000000000001</v>
      </c>
      <c r="Z29" s="43">
        <f>X29*Y29</f>
        <v>194.29800000000003</v>
      </c>
      <c r="AB29" s="1">
        <v>3</v>
      </c>
    </row>
    <row r="30" spans="1:28" ht="12.75">
      <c r="A30" s="5">
        <v>42488</v>
      </c>
      <c r="C30" s="1">
        <f>B30*Y30</f>
        <v>0</v>
      </c>
      <c r="D30" s="1">
        <f>21+28</f>
        <v>49</v>
      </c>
      <c r="E30" s="1">
        <f>D30*Y30</f>
        <v>27.636000000000003</v>
      </c>
      <c r="F30" s="1">
        <v>20</v>
      </c>
      <c r="G30" s="1">
        <f>F30*Y30</f>
        <v>11.280000000000001</v>
      </c>
      <c r="I30" s="1">
        <f>H30*Y30</f>
        <v>0</v>
      </c>
      <c r="K30" s="1">
        <f>J30*Y30</f>
        <v>0</v>
      </c>
      <c r="L30" s="1">
        <v>60</v>
      </c>
      <c r="M30" s="1">
        <f>L30*Y30</f>
        <v>33.84</v>
      </c>
      <c r="O30" s="61"/>
      <c r="P30" s="61" t="s">
        <v>26</v>
      </c>
      <c r="Q30" s="61"/>
      <c r="R30" s="61"/>
      <c r="S30" s="61"/>
      <c r="T30" s="61"/>
      <c r="U30" s="61"/>
      <c r="W30" s="1" t="s">
        <v>296</v>
      </c>
      <c r="X30" s="38">
        <f>B30+D30+F30+H30+J30+L30</f>
        <v>129</v>
      </c>
      <c r="Y30" s="38">
        <v>0.5640000000000001</v>
      </c>
      <c r="Z30" s="43">
        <f>X30*Y30</f>
        <v>72.756</v>
      </c>
      <c r="AB30" s="1">
        <v>3</v>
      </c>
    </row>
    <row r="31" spans="1:28" ht="12.75">
      <c r="A31" s="5">
        <v>42489</v>
      </c>
      <c r="C31" s="1">
        <f>B31*Y31</f>
        <v>0</v>
      </c>
      <c r="D31" s="1">
        <v>17</v>
      </c>
      <c r="E31" s="1">
        <f>D31*Y31</f>
        <v>9.588000000000001</v>
      </c>
      <c r="G31" s="1">
        <f>F31*Y31</f>
        <v>0</v>
      </c>
      <c r="I31" s="1">
        <f>H31*Y31</f>
        <v>0</v>
      </c>
      <c r="J31" s="1">
        <f>3+40</f>
        <v>43</v>
      </c>
      <c r="K31" s="1">
        <f>J31*Y31</f>
        <v>24.252000000000002</v>
      </c>
      <c r="L31" s="1">
        <v>60</v>
      </c>
      <c r="M31" s="1">
        <f>L31*Y31</f>
        <v>33.84</v>
      </c>
      <c r="O31" s="61"/>
      <c r="P31" s="61" t="s">
        <v>26</v>
      </c>
      <c r="Q31" s="61"/>
      <c r="R31" s="61"/>
      <c r="S31" s="61"/>
      <c r="T31" s="61"/>
      <c r="U31" s="61"/>
      <c r="W31" s="1" t="s">
        <v>296</v>
      </c>
      <c r="X31" s="38">
        <f>B31+D31+F31+H31+J31+L31</f>
        <v>120</v>
      </c>
      <c r="Y31" s="38">
        <v>0.5640000000000001</v>
      </c>
      <c r="Z31" s="43">
        <f>X31*Y31</f>
        <v>67.68</v>
      </c>
      <c r="AB31" s="1">
        <v>3</v>
      </c>
    </row>
    <row r="32" spans="1:28" ht="12.75">
      <c r="A32" s="5">
        <v>42490</v>
      </c>
      <c r="C32" s="1">
        <f>B32*Y32</f>
        <v>0</v>
      </c>
      <c r="D32" s="1">
        <f>40+2+3+5</f>
        <v>50</v>
      </c>
      <c r="E32" s="1">
        <f>D32*Y32</f>
        <v>28.200000000000003</v>
      </c>
      <c r="F32" s="1">
        <v>20</v>
      </c>
      <c r="G32" s="1">
        <f>F32*Y32</f>
        <v>11.280000000000001</v>
      </c>
      <c r="I32" s="1">
        <f>H32*Y32</f>
        <v>0</v>
      </c>
      <c r="J32" s="1">
        <v>30</v>
      </c>
      <c r="K32" s="1">
        <f>J32*Y32</f>
        <v>16.92</v>
      </c>
      <c r="L32" s="1">
        <v>60</v>
      </c>
      <c r="M32" s="1">
        <f>L32*Y32</f>
        <v>33.84</v>
      </c>
      <c r="O32" s="61"/>
      <c r="P32" s="61" t="s">
        <v>26</v>
      </c>
      <c r="Q32" s="61"/>
      <c r="R32" s="61"/>
      <c r="S32" s="61"/>
      <c r="T32" s="61"/>
      <c r="U32" s="61"/>
      <c r="W32" s="1" t="s">
        <v>296</v>
      </c>
      <c r="X32" s="38">
        <f>B32+D32+F32+H32+J32+L32</f>
        <v>160</v>
      </c>
      <c r="Y32" s="38">
        <v>0.5640000000000001</v>
      </c>
      <c r="Z32" s="43">
        <f>X32*Y32</f>
        <v>90.24000000000001</v>
      </c>
      <c r="AB32" s="1">
        <v>3</v>
      </c>
    </row>
    <row r="33" spans="1:28" ht="12.75">
      <c r="A33" s="5"/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0.5640000000000001</v>
      </c>
      <c r="Z33" s="2">
        <f>X33*Y33</f>
        <v>0</v>
      </c>
      <c r="AB33" s="1">
        <v>3</v>
      </c>
    </row>
    <row r="34" spans="3:28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0.5640000000000001</v>
      </c>
      <c r="Z34" s="2">
        <f>X34*Y34</f>
        <v>0</v>
      </c>
      <c r="AB34" s="1">
        <v>3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0.5640000000000001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0.0058889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0.29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K73" s="1">
        <f>J73*Y73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M78" s="1">
        <f>L78*Y78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G83" s="1">
        <f>F83*Y83</f>
        <v>0</v>
      </c>
      <c r="I83" s="1">
        <f>H83*Y83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32"/>
  <sheetViews>
    <sheetView zoomScale="90" zoomScaleNormal="90" workbookViewId="0" topLeftCell="Z1">
      <selection activeCell="AT12" sqref="AT12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4.281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42461</v>
      </c>
      <c r="B2" s="1">
        <v>40</v>
      </c>
      <c r="C2" s="1">
        <f>B2*Y2</f>
        <v>21.6</v>
      </c>
      <c r="D2" s="1">
        <f>5+5+3+8</f>
        <v>21</v>
      </c>
      <c r="E2" s="1">
        <f>D2*Y2</f>
        <v>11.34</v>
      </c>
      <c r="F2" s="1">
        <v>20</v>
      </c>
      <c r="G2" s="1">
        <f>F2*Y2</f>
        <v>10.8</v>
      </c>
      <c r="I2" s="1">
        <f>H2*Y2</f>
        <v>0</v>
      </c>
      <c r="J2" s="1">
        <v>2</v>
      </c>
      <c r="K2" s="1">
        <f>J2*Y2</f>
        <v>1.08</v>
      </c>
      <c r="L2" s="1">
        <v>50</v>
      </c>
      <c r="M2" s="1">
        <f>L2*Y2</f>
        <v>27</v>
      </c>
      <c r="N2" s="37"/>
      <c r="O2" s="37"/>
      <c r="P2" s="37" t="s">
        <v>26</v>
      </c>
      <c r="Q2" s="37"/>
      <c r="R2" s="37"/>
      <c r="S2" s="37"/>
      <c r="T2" s="37"/>
      <c r="U2" s="37"/>
      <c r="V2" s="37"/>
      <c r="W2" s="1" t="s">
        <v>297</v>
      </c>
      <c r="X2" s="38">
        <f>B2+D2+F2+H2+J2+L2</f>
        <v>133</v>
      </c>
      <c r="Y2" s="38">
        <v>0.54</v>
      </c>
      <c r="Z2" s="43">
        <f>X2*Y2</f>
        <v>71.82000000000001</v>
      </c>
      <c r="AB2" s="1">
        <v>3</v>
      </c>
      <c r="AD2" s="44" t="s">
        <v>28</v>
      </c>
      <c r="AE2" s="44">
        <f>SUM(Z2:Z994)</f>
        <v>2785.0356</v>
      </c>
      <c r="AF2" s="44"/>
      <c r="AG2" s="44" t="s">
        <v>29</v>
      </c>
      <c r="AH2" s="58">
        <f>AE2/AE5</f>
        <v>89.83985806451614</v>
      </c>
      <c r="AJ2" s="44" t="s">
        <v>93</v>
      </c>
      <c r="AK2" s="44">
        <f>COUNTBLANK(L2:L40)-COUNTBLANK(A2:A40)</f>
        <v>5</v>
      </c>
      <c r="AL2" s="7"/>
      <c r="AM2" s="59" t="s">
        <v>298</v>
      </c>
      <c r="AN2" s="59">
        <f>SUMIF(AB2:AB44,"=3",Z2:Z44)</f>
        <v>1496.448</v>
      </c>
      <c r="AO2" s="7"/>
      <c r="AP2" s="59" t="s">
        <v>299</v>
      </c>
      <c r="AQ2" s="59">
        <f>SUMIF(AB2:AB44,"=4",Z2:Z44)</f>
        <v>1288.5876000000003</v>
      </c>
    </row>
    <row r="3" spans="1:43" ht="12.75">
      <c r="A3" s="5">
        <v>42462</v>
      </c>
      <c r="C3" s="1">
        <f>B3*Y3</f>
        <v>0</v>
      </c>
      <c r="D3" s="1">
        <f>8+5+2+2</f>
        <v>17</v>
      </c>
      <c r="E3" s="1">
        <f>D3*Y3</f>
        <v>9.18</v>
      </c>
      <c r="F3" s="1">
        <v>24</v>
      </c>
      <c r="G3" s="1">
        <f>F3*Y3</f>
        <v>12.96</v>
      </c>
      <c r="I3" s="1">
        <f>H3*Y3</f>
        <v>0</v>
      </c>
      <c r="K3" s="1">
        <f>J3*Y3</f>
        <v>0</v>
      </c>
      <c r="L3" s="1">
        <v>50</v>
      </c>
      <c r="M3" s="1">
        <f>L3*Y3</f>
        <v>27</v>
      </c>
      <c r="N3" s="37"/>
      <c r="O3" s="37"/>
      <c r="P3" s="37" t="s">
        <v>26</v>
      </c>
      <c r="Q3" s="37"/>
      <c r="R3" s="37"/>
      <c r="S3" s="37"/>
      <c r="T3" s="37"/>
      <c r="U3" s="37"/>
      <c r="V3" s="37"/>
      <c r="W3" s="1" t="s">
        <v>300</v>
      </c>
      <c r="X3" s="38">
        <f>B3+D3+F3+H3+J3+L3</f>
        <v>91</v>
      </c>
      <c r="Y3" s="38">
        <v>0.54</v>
      </c>
      <c r="Z3" s="43">
        <f>X3*Y3</f>
        <v>49.14</v>
      </c>
      <c r="AB3" s="1">
        <v>3</v>
      </c>
      <c r="AD3" s="49"/>
      <c r="AE3" s="44"/>
      <c r="AF3" s="44"/>
      <c r="AG3" s="49"/>
      <c r="AH3" s="45"/>
      <c r="AJ3" s="44" t="s">
        <v>95</v>
      </c>
      <c r="AK3" s="44">
        <f>COUNT(L2:L36)</f>
        <v>26</v>
      </c>
      <c r="AM3" s="59" t="s">
        <v>290</v>
      </c>
      <c r="AN3" s="59">
        <f>_xlfn.COUNTIFS(A2:A44,"&lt;&gt;''",AB2:AB44,"=3")</f>
        <v>20</v>
      </c>
      <c r="AO3" s="7"/>
      <c r="AP3" s="59" t="s">
        <v>301</v>
      </c>
      <c r="AQ3" s="59">
        <f>_xlfn.COUNTIFS(A2:A44,"&lt;&gt;''",AB2:AB44,"=4")</f>
        <v>11</v>
      </c>
    </row>
    <row r="4" spans="1:43" ht="12.75">
      <c r="A4" s="5">
        <v>42463</v>
      </c>
      <c r="C4" s="1">
        <f>B4*Y4</f>
        <v>0</v>
      </c>
      <c r="D4" s="1">
        <f>3+8+5+1.5</f>
        <v>17.5</v>
      </c>
      <c r="E4" s="1">
        <f>D4*Y4</f>
        <v>9.450000000000001</v>
      </c>
      <c r="F4" s="1">
        <v>24</v>
      </c>
      <c r="G4" s="1">
        <f>F4*Y4</f>
        <v>12.96</v>
      </c>
      <c r="I4" s="1">
        <f>H4*Y4</f>
        <v>0</v>
      </c>
      <c r="J4" s="1">
        <f>10+50</f>
        <v>60</v>
      </c>
      <c r="K4" s="1">
        <f>J4*Y4</f>
        <v>32.400000000000006</v>
      </c>
      <c r="L4" s="1">
        <v>80</v>
      </c>
      <c r="M4" s="1">
        <f>L4*Y4</f>
        <v>43.2</v>
      </c>
      <c r="N4" s="37"/>
      <c r="O4" s="37"/>
      <c r="P4" s="37" t="s">
        <v>26</v>
      </c>
      <c r="Q4" s="37"/>
      <c r="R4" s="37"/>
      <c r="S4" s="37"/>
      <c r="T4" s="37"/>
      <c r="U4" s="37"/>
      <c r="V4" s="37"/>
      <c r="W4" s="1" t="s">
        <v>300</v>
      </c>
      <c r="X4" s="38">
        <f>B4+D4+F4+H4+J4+L4</f>
        <v>181.5</v>
      </c>
      <c r="Y4" s="38">
        <v>0.54</v>
      </c>
      <c r="Z4" s="43">
        <f>X4*Y4</f>
        <v>98.01</v>
      </c>
      <c r="AB4" s="1">
        <v>3</v>
      </c>
      <c r="AD4" s="44"/>
      <c r="AE4" s="44"/>
      <c r="AF4" s="44"/>
      <c r="AG4" s="44"/>
      <c r="AH4" s="44"/>
      <c r="AJ4" s="44" t="s">
        <v>218</v>
      </c>
      <c r="AK4" s="44">
        <f>COUNTA(S2:S49)</f>
        <v>0</v>
      </c>
      <c r="AM4" s="59" t="s">
        <v>291</v>
      </c>
      <c r="AN4" s="59">
        <f>AN2/AN3</f>
        <v>74.8224</v>
      </c>
      <c r="AO4" s="7"/>
      <c r="AP4" s="59" t="s">
        <v>302</v>
      </c>
      <c r="AQ4" s="59">
        <f>AQ2/AQ3</f>
        <v>117.1443272727273</v>
      </c>
    </row>
    <row r="5" spans="1:37" ht="12.75">
      <c r="A5" s="5">
        <v>42464</v>
      </c>
      <c r="C5" s="1">
        <f>B5*Y5</f>
        <v>0</v>
      </c>
      <c r="D5" s="1">
        <f>8+3+8</f>
        <v>19</v>
      </c>
      <c r="E5" s="1">
        <f>D5*Y5</f>
        <v>10.260000000000002</v>
      </c>
      <c r="F5" s="1">
        <v>24</v>
      </c>
      <c r="G5" s="1">
        <f>F5*Y5</f>
        <v>12.96</v>
      </c>
      <c r="I5" s="1">
        <f>H5*Y5</f>
        <v>0</v>
      </c>
      <c r="J5" s="1">
        <v>12</v>
      </c>
      <c r="K5" s="1">
        <f>J5*Y5</f>
        <v>6.48</v>
      </c>
      <c r="L5" s="1">
        <v>80</v>
      </c>
      <c r="M5" s="1">
        <f>L5*Y5</f>
        <v>43.2</v>
      </c>
      <c r="N5" s="37"/>
      <c r="O5" s="37"/>
      <c r="P5" s="37" t="s">
        <v>26</v>
      </c>
      <c r="Q5" s="37"/>
      <c r="R5" s="37"/>
      <c r="S5" s="37"/>
      <c r="T5" s="37"/>
      <c r="U5" s="37"/>
      <c r="V5" s="37"/>
      <c r="W5" s="1" t="s">
        <v>300</v>
      </c>
      <c r="X5" s="38">
        <f>B5+D5+F5+H5+J5+L5</f>
        <v>135</v>
      </c>
      <c r="Y5" s="38">
        <v>0.54</v>
      </c>
      <c r="Z5" s="43">
        <f>X5*Y5</f>
        <v>72.9</v>
      </c>
      <c r="AB5" s="1">
        <v>3</v>
      </c>
      <c r="AD5" s="44" t="s">
        <v>42</v>
      </c>
      <c r="AE5" s="44">
        <f>COUNTA(A2:A349)</f>
        <v>31</v>
      </c>
      <c r="AF5" s="44"/>
      <c r="AG5" s="44"/>
      <c r="AH5" s="44"/>
      <c r="AJ5" s="49" t="s">
        <v>264</v>
      </c>
      <c r="AK5" s="44">
        <f>COUNTA(N2:N49)</f>
        <v>2</v>
      </c>
    </row>
    <row r="6" spans="1:37" ht="12.75">
      <c r="A6" s="5">
        <v>42495</v>
      </c>
      <c r="C6" s="1">
        <f>B6*Y6</f>
        <v>0</v>
      </c>
      <c r="D6" s="1">
        <f>4+15.5</f>
        <v>19.5</v>
      </c>
      <c r="E6" s="1">
        <f>D6*Y6</f>
        <v>10.530000000000001</v>
      </c>
      <c r="F6" s="1">
        <v>24</v>
      </c>
      <c r="G6" s="1">
        <f>F6*Y6</f>
        <v>12.96</v>
      </c>
      <c r="I6" s="1">
        <f>H6*Y6</f>
        <v>0</v>
      </c>
      <c r="K6" s="1">
        <f>J6*Y6</f>
        <v>0</v>
      </c>
      <c r="L6" s="1">
        <v>50</v>
      </c>
      <c r="M6" s="1">
        <f>L6*Y6</f>
        <v>27</v>
      </c>
      <c r="N6" s="37"/>
      <c r="O6" s="37"/>
      <c r="P6" s="37" t="s">
        <v>26</v>
      </c>
      <c r="Q6" s="37"/>
      <c r="R6" s="37"/>
      <c r="S6" s="37"/>
      <c r="T6" s="37"/>
      <c r="U6" s="37"/>
      <c r="V6" s="37"/>
      <c r="W6" s="1" t="s">
        <v>300</v>
      </c>
      <c r="X6" s="38">
        <f>B6+D6+F6+H6+J6+L6</f>
        <v>93.5</v>
      </c>
      <c r="Y6" s="38">
        <v>0.54</v>
      </c>
      <c r="Z6" s="43">
        <f>X6*Y6</f>
        <v>50.49</v>
      </c>
      <c r="AB6" s="1">
        <v>3</v>
      </c>
      <c r="AD6" s="49"/>
      <c r="AE6" s="44"/>
      <c r="AF6" s="44"/>
      <c r="AG6" s="44"/>
      <c r="AH6" s="44"/>
      <c r="AJ6" s="49" t="s">
        <v>265</v>
      </c>
      <c r="AK6" s="44">
        <f>COUNTA(P2:P49)</f>
        <v>25</v>
      </c>
    </row>
    <row r="7" spans="1:37" ht="12.75">
      <c r="A7" s="5">
        <v>42496</v>
      </c>
      <c r="B7" s="1">
        <f>60+3</f>
        <v>63</v>
      </c>
      <c r="C7" s="1">
        <f>B7*Y7</f>
        <v>34.02</v>
      </c>
      <c r="D7" s="1">
        <f>5+7.5+3+10+5</f>
        <v>30.5</v>
      </c>
      <c r="E7" s="1">
        <f>D7*Y7</f>
        <v>16.470000000000002</v>
      </c>
      <c r="F7" s="1">
        <v>18</v>
      </c>
      <c r="G7" s="1">
        <f>F7*Y7</f>
        <v>9.72</v>
      </c>
      <c r="H7" s="1">
        <v>10</v>
      </c>
      <c r="I7" s="1">
        <f>H7*Y7</f>
        <v>5.4</v>
      </c>
      <c r="K7" s="1">
        <f>J7*Y7</f>
        <v>0</v>
      </c>
      <c r="L7" s="1">
        <v>60</v>
      </c>
      <c r="M7" s="1">
        <f>L7*Y7</f>
        <v>32.400000000000006</v>
      </c>
      <c r="N7" s="37"/>
      <c r="O7" s="37"/>
      <c r="P7" s="37" t="s">
        <v>26</v>
      </c>
      <c r="Q7" s="37"/>
      <c r="R7" s="37"/>
      <c r="S7" s="37"/>
      <c r="T7" s="37"/>
      <c r="U7" s="37"/>
      <c r="V7" s="37"/>
      <c r="W7" s="1" t="s">
        <v>303</v>
      </c>
      <c r="X7" s="38">
        <f>B7+D7+F7+H7+J7+L7</f>
        <v>181.5</v>
      </c>
      <c r="Y7" s="38">
        <v>0.54</v>
      </c>
      <c r="Z7" s="43">
        <f>X7*Y7</f>
        <v>98.01</v>
      </c>
      <c r="AB7" s="1">
        <v>3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COUNTA(Q2:Q49)</f>
        <v>0</v>
      </c>
    </row>
    <row r="8" spans="1:37" ht="12.75">
      <c r="A8" s="5">
        <v>42497</v>
      </c>
      <c r="C8" s="1">
        <f>B8*Y8</f>
        <v>0</v>
      </c>
      <c r="D8" s="1">
        <v>16.5</v>
      </c>
      <c r="E8" s="1">
        <f>D8*Y8</f>
        <v>8.91</v>
      </c>
      <c r="F8" s="1">
        <v>20</v>
      </c>
      <c r="G8" s="1">
        <f>F8*Y8</f>
        <v>10.8</v>
      </c>
      <c r="I8" s="1">
        <f>H8*Y8</f>
        <v>0</v>
      </c>
      <c r="K8" s="1">
        <f>J8*Y8</f>
        <v>0</v>
      </c>
      <c r="L8" s="1">
        <v>60</v>
      </c>
      <c r="M8" s="1">
        <f>L8*Y8</f>
        <v>32.400000000000006</v>
      </c>
      <c r="N8" s="37"/>
      <c r="O8" s="37"/>
      <c r="P8" s="37" t="s">
        <v>26</v>
      </c>
      <c r="Q8" s="37"/>
      <c r="R8" s="37"/>
      <c r="S8" s="37"/>
      <c r="T8" s="37"/>
      <c r="U8" s="37"/>
      <c r="V8" s="37"/>
      <c r="W8" s="1" t="s">
        <v>304</v>
      </c>
      <c r="X8" s="38">
        <f>B8+D8+F8+H8+J8+L8</f>
        <v>96.5</v>
      </c>
      <c r="Y8" s="38">
        <v>0.54</v>
      </c>
      <c r="Z8" s="43">
        <f>X8*Y8</f>
        <v>52.11000000000001</v>
      </c>
      <c r="AB8" s="1">
        <v>3</v>
      </c>
      <c r="AD8" s="44" t="s">
        <v>48</v>
      </c>
      <c r="AE8" s="54">
        <f>SUM(M2:M994)</f>
        <v>811.2000000000003</v>
      </c>
      <c r="AF8" s="44"/>
      <c r="AG8" s="44" t="s">
        <v>11</v>
      </c>
      <c r="AH8" s="54">
        <f>AE8/$AE$5</f>
        <v>26.16774193548388</v>
      </c>
      <c r="AJ8" s="49" t="s">
        <v>269</v>
      </c>
      <c r="AK8" s="44">
        <f>COUNTA(O2:O49)</f>
        <v>1</v>
      </c>
    </row>
    <row r="9" spans="1:37" ht="12.75">
      <c r="A9" s="5">
        <v>42498</v>
      </c>
      <c r="B9" s="1">
        <v>40</v>
      </c>
      <c r="C9" s="1">
        <f>B9*Y9</f>
        <v>21.6</v>
      </c>
      <c r="D9" s="1">
        <f>30</f>
        <v>30</v>
      </c>
      <c r="E9" s="1">
        <f>D9*Y9</f>
        <v>16.200000000000003</v>
      </c>
      <c r="F9" s="1">
        <v>20</v>
      </c>
      <c r="G9" s="1">
        <f>F9*Y9</f>
        <v>10.8</v>
      </c>
      <c r="I9" s="1">
        <f>H9*Y9</f>
        <v>0</v>
      </c>
      <c r="J9" s="1">
        <f>50+2</f>
        <v>52</v>
      </c>
      <c r="K9" s="1">
        <f>J9*Y9</f>
        <v>28.080000000000002</v>
      </c>
      <c r="L9" s="1">
        <v>60</v>
      </c>
      <c r="M9" s="1">
        <f>L9*Y9</f>
        <v>32.400000000000006</v>
      </c>
      <c r="N9" s="37"/>
      <c r="O9" s="37"/>
      <c r="P9" s="37" t="s">
        <v>26</v>
      </c>
      <c r="Q9" s="37"/>
      <c r="R9" s="37"/>
      <c r="S9" s="37"/>
      <c r="T9" s="37"/>
      <c r="U9" s="37"/>
      <c r="V9" s="37"/>
      <c r="W9" s="1" t="s">
        <v>305</v>
      </c>
      <c r="X9" s="38">
        <f>B9+D9+F9+H9+J9+L9</f>
        <v>202</v>
      </c>
      <c r="Y9" s="38">
        <v>0.54</v>
      </c>
      <c r="Z9" s="43">
        <f>X9*Y9</f>
        <v>109.08000000000001</v>
      </c>
      <c r="AB9" s="1">
        <v>3</v>
      </c>
      <c r="AD9" s="44" t="s">
        <v>50</v>
      </c>
      <c r="AE9" s="44">
        <f>SUM(C2:C994)</f>
        <v>380.13000000000005</v>
      </c>
      <c r="AF9" s="44"/>
      <c r="AG9" s="44" t="s">
        <v>1</v>
      </c>
      <c r="AH9" s="44">
        <f>AE9/$AE$5</f>
        <v>12.26225806451613</v>
      </c>
      <c r="AJ9" s="49" t="s">
        <v>20</v>
      </c>
      <c r="AK9" s="44">
        <f>COUNTA(U3:U50)</f>
        <v>3</v>
      </c>
    </row>
    <row r="10" spans="1:34" ht="12.75">
      <c r="A10" s="5">
        <v>42499</v>
      </c>
      <c r="C10" s="1">
        <f>B10*Y10</f>
        <v>0</v>
      </c>
      <c r="D10" s="1">
        <f>2+20.5</f>
        <v>22.5</v>
      </c>
      <c r="E10" s="1">
        <f>D10*Y10</f>
        <v>12.15</v>
      </c>
      <c r="F10" s="1">
        <v>20</v>
      </c>
      <c r="G10" s="1">
        <f>F10*Y10</f>
        <v>10.8</v>
      </c>
      <c r="I10" s="1">
        <f>H10*Y10</f>
        <v>0</v>
      </c>
      <c r="K10" s="1">
        <f>J10*Y10</f>
        <v>0</v>
      </c>
      <c r="L10" s="1">
        <v>60</v>
      </c>
      <c r="M10" s="1">
        <f>L10*Y10</f>
        <v>32.400000000000006</v>
      </c>
      <c r="N10" s="37"/>
      <c r="O10" s="37"/>
      <c r="P10" s="37" t="s">
        <v>26</v>
      </c>
      <c r="Q10" s="37"/>
      <c r="R10" s="37"/>
      <c r="S10" s="37"/>
      <c r="T10" s="37"/>
      <c r="U10" s="37"/>
      <c r="V10" s="37"/>
      <c r="W10" s="1" t="s">
        <v>304</v>
      </c>
      <c r="X10" s="38">
        <f>B10+D10+F10+H10+J10+L10</f>
        <v>102.5</v>
      </c>
      <c r="Y10" s="38">
        <v>0.54</v>
      </c>
      <c r="Z10" s="43">
        <f>X10*Y10</f>
        <v>55.35</v>
      </c>
      <c r="AB10" s="1">
        <v>3</v>
      </c>
      <c r="AD10" s="44" t="s">
        <v>51</v>
      </c>
      <c r="AE10" s="54">
        <f>SUM(E2:E994)</f>
        <v>465.9756</v>
      </c>
      <c r="AF10" s="44"/>
      <c r="AG10" s="44" t="s">
        <v>52</v>
      </c>
      <c r="AH10" s="44">
        <f>AE10/$AE$5</f>
        <v>15.031470967741935</v>
      </c>
    </row>
    <row r="11" spans="1:34" ht="12.75">
      <c r="A11" s="5">
        <v>42500</v>
      </c>
      <c r="B11" s="1">
        <f>70+3</f>
        <v>73</v>
      </c>
      <c r="C11" s="1">
        <f>B11*Y11</f>
        <v>39.42</v>
      </c>
      <c r="D11" s="1">
        <f>78.3+4+3</f>
        <v>85.3</v>
      </c>
      <c r="E11" s="1">
        <f>D11*Y11</f>
        <v>46.062000000000005</v>
      </c>
      <c r="F11" s="1">
        <v>20</v>
      </c>
      <c r="G11" s="1">
        <f>F11*Y11</f>
        <v>10.8</v>
      </c>
      <c r="I11" s="1">
        <f>H11*Y11</f>
        <v>0</v>
      </c>
      <c r="J11" s="1">
        <f>1+5</f>
        <v>6</v>
      </c>
      <c r="K11" s="1">
        <f>J11*Y11</f>
        <v>3.24</v>
      </c>
      <c r="M11" s="1">
        <f>L11*Y11</f>
        <v>0</v>
      </c>
      <c r="N11" s="37"/>
      <c r="O11" s="37"/>
      <c r="P11" s="37"/>
      <c r="Q11" s="37"/>
      <c r="R11" s="37"/>
      <c r="S11" s="37"/>
      <c r="T11" s="37"/>
      <c r="U11" s="37" t="s">
        <v>26</v>
      </c>
      <c r="V11" s="37"/>
      <c r="W11" s="1" t="s">
        <v>304</v>
      </c>
      <c r="X11" s="38">
        <f>B11+D11+F11+H11+J11+L11</f>
        <v>184.3</v>
      </c>
      <c r="Y11" s="38">
        <v>0.54</v>
      </c>
      <c r="Z11" s="43">
        <f>X11*Y11</f>
        <v>99.52200000000002</v>
      </c>
      <c r="AB11" s="1">
        <v>3</v>
      </c>
      <c r="AD11" s="44" t="s">
        <v>54</v>
      </c>
      <c r="AE11" s="54">
        <f>SUM(G2:G994)</f>
        <v>238.8</v>
      </c>
      <c r="AF11" s="44"/>
      <c r="AG11" s="44" t="s">
        <v>55</v>
      </c>
      <c r="AH11" s="54">
        <f>AE11/$AE$5</f>
        <v>7.703225806451614</v>
      </c>
    </row>
    <row r="12" spans="1:34" ht="12.75">
      <c r="A12" s="5">
        <v>42501</v>
      </c>
      <c r="C12" s="1">
        <f>B12*Y12</f>
        <v>0</v>
      </c>
      <c r="D12" s="1">
        <f>5+3+16+10</f>
        <v>34</v>
      </c>
      <c r="E12" s="1">
        <f>D12*Y12</f>
        <v>18.36</v>
      </c>
      <c r="G12" s="1">
        <f>F12*Y12</f>
        <v>0</v>
      </c>
      <c r="I12" s="1">
        <f>H12*Y12</f>
        <v>0</v>
      </c>
      <c r="J12" s="1">
        <v>12</v>
      </c>
      <c r="K12" s="1">
        <f>J12*Y12</f>
        <v>6.48</v>
      </c>
      <c r="L12" s="1">
        <v>40</v>
      </c>
      <c r="M12" s="1">
        <f>L12*Y12</f>
        <v>21.6</v>
      </c>
      <c r="N12" s="37" t="s">
        <v>26</v>
      </c>
      <c r="O12" s="37"/>
      <c r="P12" s="37"/>
      <c r="Q12" s="37"/>
      <c r="R12" s="37"/>
      <c r="S12" s="37"/>
      <c r="T12" s="37"/>
      <c r="U12" s="37"/>
      <c r="V12" s="37"/>
      <c r="W12" s="1" t="s">
        <v>306</v>
      </c>
      <c r="X12" s="38">
        <f>B12+D12+F12+H12+J12+L12</f>
        <v>86</v>
      </c>
      <c r="Y12" s="38">
        <v>0.54</v>
      </c>
      <c r="Z12" s="43">
        <f>X12*Y12</f>
        <v>46.440000000000005</v>
      </c>
      <c r="AB12" s="1">
        <v>3</v>
      </c>
      <c r="AD12" s="44" t="s">
        <v>57</v>
      </c>
      <c r="AE12" s="54">
        <f>SUM(K2:K994)</f>
        <v>209.85000000000002</v>
      </c>
      <c r="AF12" s="44"/>
      <c r="AG12" s="44" t="s">
        <v>9</v>
      </c>
      <c r="AH12" s="54">
        <f>AE12/$AE$5</f>
        <v>6.7693548387096785</v>
      </c>
    </row>
    <row r="13" spans="1:34" ht="12.75">
      <c r="A13" s="5">
        <v>42502</v>
      </c>
      <c r="C13" s="1">
        <f>B13*Y13</f>
        <v>0</v>
      </c>
      <c r="D13" s="1">
        <f>10+5+6</f>
        <v>21</v>
      </c>
      <c r="E13" s="1">
        <f>D13*Y13</f>
        <v>11.34</v>
      </c>
      <c r="G13" s="1">
        <f>F13*Y13</f>
        <v>0</v>
      </c>
      <c r="H13" s="1">
        <v>100</v>
      </c>
      <c r="I13" s="1">
        <f>H13*Y13</f>
        <v>54</v>
      </c>
      <c r="K13" s="1">
        <f>J13*Y13</f>
        <v>0</v>
      </c>
      <c r="L13" s="1">
        <v>40</v>
      </c>
      <c r="M13" s="1">
        <f>L13*Y13</f>
        <v>21.6</v>
      </c>
      <c r="N13" s="37" t="s">
        <v>26</v>
      </c>
      <c r="O13" s="37"/>
      <c r="P13" s="37"/>
      <c r="Q13" s="37"/>
      <c r="R13" s="37"/>
      <c r="S13" s="37"/>
      <c r="T13" s="37"/>
      <c r="U13" s="37"/>
      <c r="V13" s="37">
        <v>1</v>
      </c>
      <c r="W13" s="1" t="s">
        <v>306</v>
      </c>
      <c r="X13" s="38">
        <f>B13+D13+F13+H13+J13+L13</f>
        <v>161</v>
      </c>
      <c r="Y13" s="38">
        <v>0.54</v>
      </c>
      <c r="Z13" s="43">
        <f>X13*Y13</f>
        <v>86.94000000000001</v>
      </c>
      <c r="AB13" s="1">
        <v>3</v>
      </c>
      <c r="AD13" s="44" t="s">
        <v>58</v>
      </c>
      <c r="AE13" s="44">
        <f>SUM(I2:I994)</f>
        <v>679.0799999999999</v>
      </c>
      <c r="AF13" s="44"/>
      <c r="AG13" s="44" t="s">
        <v>7</v>
      </c>
      <c r="AH13" s="54">
        <f>AE13/$AE$5</f>
        <v>21.9058064516129</v>
      </c>
    </row>
    <row r="14" spans="1:28" ht="12.75">
      <c r="A14" s="5">
        <v>42503</v>
      </c>
      <c r="B14" s="1">
        <f>40+70+4+6</f>
        <v>120</v>
      </c>
      <c r="C14" s="1">
        <f>B14*Y14</f>
        <v>64.80000000000001</v>
      </c>
      <c r="D14" s="1">
        <f>11.5+10+5</f>
        <v>26.5</v>
      </c>
      <c r="E14" s="1">
        <f>D14*Y14</f>
        <v>14.31</v>
      </c>
      <c r="F14" s="1">
        <v>30</v>
      </c>
      <c r="G14" s="1">
        <f>F14*Y14</f>
        <v>16.200000000000003</v>
      </c>
      <c r="I14" s="1">
        <f>H14*Y14</f>
        <v>0</v>
      </c>
      <c r="J14" s="1">
        <v>2</v>
      </c>
      <c r="K14" s="1">
        <f>J14*Y14</f>
        <v>1.08</v>
      </c>
      <c r="M14" s="1">
        <f>L14*Y14</f>
        <v>0</v>
      </c>
      <c r="N14" s="37"/>
      <c r="O14" s="37"/>
      <c r="P14" s="37"/>
      <c r="Q14" s="37"/>
      <c r="R14" s="37"/>
      <c r="S14" s="37"/>
      <c r="T14" s="37"/>
      <c r="U14" s="37" t="s">
        <v>26</v>
      </c>
      <c r="V14" s="37"/>
      <c r="W14" s="1" t="s">
        <v>307</v>
      </c>
      <c r="X14" s="38">
        <f>B14+D14+F14+H14+J14+L14</f>
        <v>178.5</v>
      </c>
      <c r="Y14" s="38">
        <v>0.54</v>
      </c>
      <c r="Z14" s="43">
        <f>X14*Y14</f>
        <v>96.39</v>
      </c>
      <c r="AB14" s="1">
        <v>3</v>
      </c>
    </row>
    <row r="15" spans="1:31" ht="12.75">
      <c r="A15" s="5">
        <v>42504</v>
      </c>
      <c r="B15" s="1">
        <f>60</f>
        <v>60</v>
      </c>
      <c r="C15" s="1">
        <f>B15*Y15</f>
        <v>32.400000000000006</v>
      </c>
      <c r="D15" s="1">
        <f>8+5</f>
        <v>13</v>
      </c>
      <c r="E15" s="1">
        <f>D15*Y15</f>
        <v>7.0200000000000005</v>
      </c>
      <c r="F15" s="1">
        <f>14</f>
        <v>14</v>
      </c>
      <c r="G15" s="1">
        <f>F15*Y15</f>
        <v>7.5600000000000005</v>
      </c>
      <c r="I15" s="1">
        <f>H15*Y15</f>
        <v>0</v>
      </c>
      <c r="J15" s="1">
        <v>2</v>
      </c>
      <c r="K15" s="1">
        <f>J15*Y15</f>
        <v>1.08</v>
      </c>
      <c r="L15" s="1">
        <v>60</v>
      </c>
      <c r="M15" s="1">
        <f>L15*Y15</f>
        <v>32.400000000000006</v>
      </c>
      <c r="N15" s="37"/>
      <c r="O15" s="37"/>
      <c r="P15" s="37" t="s">
        <v>26</v>
      </c>
      <c r="Q15" s="37"/>
      <c r="R15" s="37"/>
      <c r="S15" s="37"/>
      <c r="T15" s="37"/>
      <c r="U15" s="37"/>
      <c r="V15" s="37"/>
      <c r="W15" s="1" t="s">
        <v>308</v>
      </c>
      <c r="X15" s="38">
        <f>B15+D15+F15+H15+J15+L15</f>
        <v>149</v>
      </c>
      <c r="Y15" s="38">
        <v>0.54</v>
      </c>
      <c r="Z15" s="43">
        <f>X15*Y15</f>
        <v>80.46000000000001</v>
      </c>
      <c r="AB15" s="1">
        <v>3</v>
      </c>
      <c r="AD15" s="8"/>
      <c r="AE15" s="8"/>
    </row>
    <row r="16" spans="1:30" ht="12.75">
      <c r="A16" s="5">
        <v>42505</v>
      </c>
      <c r="C16" s="1">
        <f>B16*Y16</f>
        <v>0</v>
      </c>
      <c r="D16" s="1">
        <f>5+5+8+4+3+6</f>
        <v>31</v>
      </c>
      <c r="E16" s="1">
        <f>D16*Y16</f>
        <v>16.740000000000002</v>
      </c>
      <c r="F16" s="1">
        <v>21</v>
      </c>
      <c r="G16" s="1">
        <f>F16*Y16</f>
        <v>11.34</v>
      </c>
      <c r="H16" s="1">
        <v>12</v>
      </c>
      <c r="I16" s="1">
        <f>H16*Y16</f>
        <v>6.48</v>
      </c>
      <c r="J16" s="1">
        <f>18+159+2+1.5</f>
        <v>180.5</v>
      </c>
      <c r="K16" s="1">
        <f>J16*Y16</f>
        <v>97.47000000000001</v>
      </c>
      <c r="L16" s="1">
        <v>70</v>
      </c>
      <c r="M16" s="1">
        <f>L16*Y16</f>
        <v>37.800000000000004</v>
      </c>
      <c r="N16" s="37"/>
      <c r="O16" s="37"/>
      <c r="P16" s="37" t="s">
        <v>26</v>
      </c>
      <c r="Q16" s="37"/>
      <c r="R16" s="37"/>
      <c r="S16" s="37"/>
      <c r="T16" s="37"/>
      <c r="U16" s="37"/>
      <c r="V16" s="37"/>
      <c r="W16" s="1" t="s">
        <v>309</v>
      </c>
      <c r="X16" s="38">
        <f>B16+D16+F16+H16+J16+L16</f>
        <v>314.5</v>
      </c>
      <c r="Y16" s="38">
        <v>0.54</v>
      </c>
      <c r="Z16" s="43">
        <f>X16*Y16</f>
        <v>169.83</v>
      </c>
      <c r="AB16" s="1">
        <v>3</v>
      </c>
      <c r="AD16" s="8"/>
    </row>
    <row r="17" spans="1:28" ht="12.75">
      <c r="A17" s="5">
        <v>42506</v>
      </c>
      <c r="B17" s="1">
        <f>18+18+2+2</f>
        <v>40</v>
      </c>
      <c r="C17" s="1">
        <f>B17*Y17</f>
        <v>21.6</v>
      </c>
      <c r="D17" s="1">
        <f>4+4+4+0.5</f>
        <v>12.5</v>
      </c>
      <c r="E17" s="1">
        <f>D17*Y17</f>
        <v>6.75</v>
      </c>
      <c r="F17" s="1">
        <v>25</v>
      </c>
      <c r="G17" s="1">
        <f>F17*Y17</f>
        <v>13.5</v>
      </c>
      <c r="I17" s="1">
        <f>H17*Y17</f>
        <v>0</v>
      </c>
      <c r="K17" s="1">
        <f>J17*Y17</f>
        <v>0</v>
      </c>
      <c r="L17" s="1">
        <v>35</v>
      </c>
      <c r="M17" s="1">
        <f>L17*Y17</f>
        <v>18.900000000000002</v>
      </c>
      <c r="N17" s="37"/>
      <c r="O17" s="37"/>
      <c r="P17" s="37" t="s">
        <v>26</v>
      </c>
      <c r="Q17" s="37"/>
      <c r="R17" s="37"/>
      <c r="S17" s="37"/>
      <c r="T17" s="37"/>
      <c r="U17" s="37"/>
      <c r="V17" s="37"/>
      <c r="W17" s="1" t="s">
        <v>310</v>
      </c>
      <c r="X17" s="38">
        <f>B17+D17+F17+H17+J17+L17</f>
        <v>112.5</v>
      </c>
      <c r="Y17" s="38">
        <v>0.54</v>
      </c>
      <c r="Z17" s="43">
        <f>X17*Y17</f>
        <v>60.75000000000001</v>
      </c>
      <c r="AB17" s="1">
        <v>3</v>
      </c>
    </row>
    <row r="18" spans="1:28" ht="12.75">
      <c r="A18" s="5">
        <v>42507</v>
      </c>
      <c r="C18" s="1">
        <f>B18*Y18</f>
        <v>0</v>
      </c>
      <c r="D18" s="1">
        <f>11+8+2+1+6</f>
        <v>28</v>
      </c>
      <c r="E18" s="1">
        <f>D18*Y18</f>
        <v>15.120000000000001</v>
      </c>
      <c r="F18" s="1">
        <v>20</v>
      </c>
      <c r="G18" s="1">
        <f>F18*Y18</f>
        <v>10.8</v>
      </c>
      <c r="H18" s="1">
        <v>50</v>
      </c>
      <c r="I18" s="1">
        <f>H18*Y18</f>
        <v>27</v>
      </c>
      <c r="J18" s="1">
        <v>25</v>
      </c>
      <c r="K18" s="1">
        <f>J18*Y18</f>
        <v>13.5</v>
      </c>
      <c r="L18" s="1">
        <v>35</v>
      </c>
      <c r="M18" s="1">
        <f>L18*Y18</f>
        <v>18.900000000000002</v>
      </c>
      <c r="N18" s="37"/>
      <c r="O18" s="37"/>
      <c r="P18" s="37" t="s">
        <v>26</v>
      </c>
      <c r="Q18" s="37"/>
      <c r="R18" s="37"/>
      <c r="S18" s="37"/>
      <c r="T18" s="37"/>
      <c r="U18" s="37"/>
      <c r="V18" s="37"/>
      <c r="W18" s="1" t="s">
        <v>311</v>
      </c>
      <c r="X18" s="38">
        <f>B18+D18+F18+H18+J18+L18</f>
        <v>158</v>
      </c>
      <c r="Y18" s="38">
        <v>0.54</v>
      </c>
      <c r="Z18" s="43">
        <f>X18*Y18</f>
        <v>85.32000000000001</v>
      </c>
      <c r="AB18" s="1">
        <v>3</v>
      </c>
    </row>
    <row r="19" spans="1:28" ht="12.75">
      <c r="A19" s="5">
        <v>42508</v>
      </c>
      <c r="C19" s="1">
        <f>B19*Y19</f>
        <v>0</v>
      </c>
      <c r="D19" s="1">
        <f>8+5.4+1</f>
        <v>14.4</v>
      </c>
      <c r="E19" s="1">
        <f>D19*Y19</f>
        <v>7.776000000000001</v>
      </c>
      <c r="G19" s="1">
        <f>F19*Y19</f>
        <v>0</v>
      </c>
      <c r="H19" s="1">
        <v>30</v>
      </c>
      <c r="I19" s="1">
        <f>H19*Y19</f>
        <v>16.200000000000003</v>
      </c>
      <c r="J19" s="1">
        <v>4.5</v>
      </c>
      <c r="K19" s="1">
        <f>J19*Y19</f>
        <v>2.43</v>
      </c>
      <c r="L19" s="1">
        <v>30</v>
      </c>
      <c r="M19" s="1">
        <f>L19*Y19</f>
        <v>16.200000000000003</v>
      </c>
      <c r="N19" s="37"/>
      <c r="O19" s="37"/>
      <c r="P19" s="37" t="s">
        <v>26</v>
      </c>
      <c r="Q19" s="37"/>
      <c r="R19" s="37"/>
      <c r="S19" s="37"/>
      <c r="T19" s="37"/>
      <c r="U19" s="37"/>
      <c r="V19" s="37"/>
      <c r="W19" s="1" t="s">
        <v>311</v>
      </c>
      <c r="X19" s="38">
        <f>B19+D19+F19+H19+J19+L19</f>
        <v>78.9</v>
      </c>
      <c r="Y19" s="38">
        <v>0.54</v>
      </c>
      <c r="Z19" s="43">
        <f>X19*Y19</f>
        <v>42.60600000000001</v>
      </c>
      <c r="AB19" s="1">
        <v>3</v>
      </c>
    </row>
    <row r="20" spans="1:28" ht="12.75">
      <c r="A20" s="5">
        <v>42509</v>
      </c>
      <c r="B20" s="1">
        <v>60</v>
      </c>
      <c r="C20" s="1">
        <f>B20*Y20</f>
        <v>32.400000000000006</v>
      </c>
      <c r="D20" s="1">
        <f>5+11+2+16+1+2</f>
        <v>37</v>
      </c>
      <c r="E20" s="1">
        <f>D20*Y20</f>
        <v>19.98</v>
      </c>
      <c r="G20" s="1">
        <f>F20*Y20</f>
        <v>0</v>
      </c>
      <c r="I20" s="1">
        <f>H20*Y20</f>
        <v>0</v>
      </c>
      <c r="K20" s="1">
        <f>J20*Y20</f>
        <v>0</v>
      </c>
      <c r="L20" s="1">
        <v>30</v>
      </c>
      <c r="M20" s="1">
        <f>L20*Y20</f>
        <v>16.200000000000003</v>
      </c>
      <c r="N20" s="37"/>
      <c r="O20" s="37"/>
      <c r="P20" s="37" t="s">
        <v>26</v>
      </c>
      <c r="Q20" s="37"/>
      <c r="R20" s="37"/>
      <c r="S20" s="37"/>
      <c r="T20" s="37"/>
      <c r="U20" s="37"/>
      <c r="V20" s="37"/>
      <c r="W20" s="1" t="s">
        <v>311</v>
      </c>
      <c r="X20" s="38">
        <f>B20+D20+F20+H20+J20+L20</f>
        <v>127</v>
      </c>
      <c r="Y20" s="38">
        <v>0.54</v>
      </c>
      <c r="Z20" s="43">
        <f>X20*Y20</f>
        <v>68.58</v>
      </c>
      <c r="AB20" s="1">
        <v>3</v>
      </c>
    </row>
    <row r="21" spans="1:28" ht="12.75">
      <c r="A21" s="5">
        <v>42510</v>
      </c>
      <c r="C21" s="1">
        <f>B21*Y21</f>
        <v>0</v>
      </c>
      <c r="D21" s="1">
        <v>5</v>
      </c>
      <c r="E21" s="1">
        <f>D21*Y21</f>
        <v>2.7</v>
      </c>
      <c r="G21" s="1">
        <f>F21*Y21</f>
        <v>0</v>
      </c>
      <c r="I21" s="1">
        <f>H21*Y21</f>
        <v>0</v>
      </c>
      <c r="K21" s="1">
        <f>J21*Y21</f>
        <v>0</v>
      </c>
      <c r="M21" s="1">
        <f>L21*Y21</f>
        <v>0</v>
      </c>
      <c r="N21" s="37"/>
      <c r="O21" s="37"/>
      <c r="P21" s="37" t="s">
        <v>26</v>
      </c>
      <c r="Q21" s="37"/>
      <c r="R21" s="37"/>
      <c r="S21" s="37"/>
      <c r="T21" s="37"/>
      <c r="U21" s="37"/>
      <c r="V21" s="37"/>
      <c r="W21" s="1" t="s">
        <v>312</v>
      </c>
      <c r="X21" s="38">
        <f>B21+D21+F21+H21+J21+L21</f>
        <v>5</v>
      </c>
      <c r="Y21" s="38">
        <v>0.54</v>
      </c>
      <c r="Z21" s="43">
        <f>X21*Y21</f>
        <v>2.7</v>
      </c>
      <c r="AB21" s="1">
        <v>3</v>
      </c>
    </row>
    <row r="22" spans="1:28" ht="12.75">
      <c r="A22" s="5"/>
      <c r="C22" s="1">
        <f>B22*Y22</f>
        <v>0</v>
      </c>
      <c r="D22" s="1">
        <v>30.74</v>
      </c>
      <c r="E22" s="1">
        <f>D22*Y22</f>
        <v>35.043600000000005</v>
      </c>
      <c r="F22" s="1">
        <v>10</v>
      </c>
      <c r="G22" s="1">
        <f>F22*Y22</f>
        <v>11.400000000000002</v>
      </c>
      <c r="I22" s="1">
        <f>H22*Y22</f>
        <v>0</v>
      </c>
      <c r="K22" s="1">
        <f>J22*Y22</f>
        <v>0</v>
      </c>
      <c r="L22" s="1">
        <v>40</v>
      </c>
      <c r="M22" s="1">
        <f>L22*Y22</f>
        <v>45.60000000000001</v>
      </c>
      <c r="N22" s="37"/>
      <c r="O22" s="37"/>
      <c r="P22" s="37"/>
      <c r="Q22" s="37"/>
      <c r="R22" s="37"/>
      <c r="S22" s="37"/>
      <c r="T22" s="37"/>
      <c r="U22" s="37"/>
      <c r="V22" s="37"/>
      <c r="X22" s="38">
        <f>B22+D22+F22+H22+J22+L22</f>
        <v>80.74</v>
      </c>
      <c r="Y22" s="38">
        <v>1.1400000000000001</v>
      </c>
      <c r="Z22" s="43">
        <f>X22*Y22</f>
        <v>92.0436</v>
      </c>
      <c r="AB22" s="1">
        <v>4</v>
      </c>
    </row>
    <row r="23" spans="1:28" ht="12.75">
      <c r="A23" s="5">
        <v>42511</v>
      </c>
      <c r="B23" s="1">
        <v>40</v>
      </c>
      <c r="C23" s="1">
        <f>B23*Y23</f>
        <v>45.60000000000001</v>
      </c>
      <c r="D23" s="1">
        <f>15.8+2.5+2+3</f>
        <v>23.3</v>
      </c>
      <c r="E23" s="1">
        <f>D23*Y23</f>
        <v>26.562000000000005</v>
      </c>
      <c r="F23" s="1">
        <v>9</v>
      </c>
      <c r="G23" s="1">
        <f>F23*Y23</f>
        <v>10.260000000000002</v>
      </c>
      <c r="H23" s="1">
        <v>180</v>
      </c>
      <c r="I23" s="1">
        <f>H23*Y23</f>
        <v>205.20000000000002</v>
      </c>
      <c r="K23" s="1">
        <f>J23*Y23</f>
        <v>0</v>
      </c>
      <c r="L23" s="1">
        <v>40</v>
      </c>
      <c r="M23" s="1">
        <f>L23*Y23</f>
        <v>45.60000000000001</v>
      </c>
      <c r="N23" s="37"/>
      <c r="O23" s="37"/>
      <c r="P23" s="37" t="s">
        <v>26</v>
      </c>
      <c r="Q23" s="37"/>
      <c r="R23" s="37"/>
      <c r="S23" s="37"/>
      <c r="T23" s="37"/>
      <c r="U23" s="37"/>
      <c r="V23" s="37"/>
      <c r="W23" s="1" t="s">
        <v>94</v>
      </c>
      <c r="X23" s="38">
        <f>B23+D23+F23+H23+J23+L23</f>
        <v>292.3</v>
      </c>
      <c r="Y23" s="38">
        <v>1.1400000000000001</v>
      </c>
      <c r="Z23" s="43">
        <f>X23*Y23</f>
        <v>333.22200000000004</v>
      </c>
      <c r="AB23" s="1">
        <v>4</v>
      </c>
    </row>
    <row r="24" spans="1:28" ht="12.75">
      <c r="A24" s="5">
        <v>42512</v>
      </c>
      <c r="C24" s="1">
        <f>B24*Y24</f>
        <v>0</v>
      </c>
      <c r="D24" s="1">
        <v>10</v>
      </c>
      <c r="E24" s="1">
        <f>D24*Y24</f>
        <v>11.400000000000002</v>
      </c>
      <c r="G24" s="1">
        <f>F24*Y24</f>
        <v>0</v>
      </c>
      <c r="H24" s="1">
        <v>10</v>
      </c>
      <c r="I24" s="1">
        <f>H24*Y24</f>
        <v>11.400000000000002</v>
      </c>
      <c r="J24" s="1">
        <f>1+1.5+5</f>
        <v>7.5</v>
      </c>
      <c r="K24" s="1">
        <f>J24*Y24</f>
        <v>8.55</v>
      </c>
      <c r="M24" s="1">
        <f>L24*Y24</f>
        <v>0</v>
      </c>
      <c r="N24" s="37"/>
      <c r="O24" s="37"/>
      <c r="P24" s="37" t="s">
        <v>26</v>
      </c>
      <c r="Q24" s="37"/>
      <c r="R24" s="37"/>
      <c r="S24" s="37"/>
      <c r="T24" s="37"/>
      <c r="U24" s="37"/>
      <c r="V24" s="37"/>
      <c r="W24" s="1" t="s">
        <v>96</v>
      </c>
      <c r="X24" s="38">
        <f>B24+D24+F24+H24+J24+L24</f>
        <v>27.5</v>
      </c>
      <c r="Y24" s="38">
        <v>1.1400000000000001</v>
      </c>
      <c r="Z24" s="43">
        <f>X24*Y24</f>
        <v>31.350000000000005</v>
      </c>
      <c r="AB24" s="1">
        <v>4</v>
      </c>
    </row>
    <row r="25" spans="1:28" ht="12.75">
      <c r="A25" s="5">
        <v>42513</v>
      </c>
      <c r="B25" s="1">
        <f>2.5</f>
        <v>2.5</v>
      </c>
      <c r="C25" s="1">
        <f>B25*Y25</f>
        <v>2.8500000000000005</v>
      </c>
      <c r="D25" s="1">
        <f>2</f>
        <v>2</v>
      </c>
      <c r="E25" s="1">
        <f>D25*Y25</f>
        <v>2.2800000000000002</v>
      </c>
      <c r="G25" s="1">
        <f>F25*Y25</f>
        <v>0</v>
      </c>
      <c r="I25" s="1">
        <f>H25*Y25</f>
        <v>0</v>
      </c>
      <c r="J25" s="1">
        <f>3+1</f>
        <v>4</v>
      </c>
      <c r="K25" s="1">
        <f>J25*Y25</f>
        <v>4.5600000000000005</v>
      </c>
      <c r="M25" s="1">
        <f>L25*Y25</f>
        <v>0</v>
      </c>
      <c r="N25" s="37"/>
      <c r="O25" s="37"/>
      <c r="P25" s="37"/>
      <c r="Q25" s="37"/>
      <c r="R25" s="37"/>
      <c r="S25" s="37"/>
      <c r="T25" s="37"/>
      <c r="U25" s="37" t="s">
        <v>26</v>
      </c>
      <c r="V25" s="37"/>
      <c r="W25" s="1" t="s">
        <v>98</v>
      </c>
      <c r="X25" s="38">
        <f>B25+D25+F25+H25+J25+L25</f>
        <v>8.5</v>
      </c>
      <c r="Y25" s="38">
        <v>1.1400000000000001</v>
      </c>
      <c r="Z25" s="43">
        <f>X25*Y25</f>
        <v>9.690000000000001</v>
      </c>
      <c r="AB25" s="1">
        <v>4</v>
      </c>
    </row>
    <row r="26" spans="1:28" ht="12.75">
      <c r="A26" s="5">
        <v>42514</v>
      </c>
      <c r="B26" s="1">
        <v>4</v>
      </c>
      <c r="C26" s="1">
        <f>B26*Y26</f>
        <v>4.5600000000000005</v>
      </c>
      <c r="D26" s="1">
        <f>7.4+12+2</f>
        <v>21.4</v>
      </c>
      <c r="E26" s="1">
        <f>D26*Y26</f>
        <v>24.396</v>
      </c>
      <c r="G26" s="1">
        <f>F26*Y26</f>
        <v>0</v>
      </c>
      <c r="I26" s="1">
        <f>H26*Y26</f>
        <v>0</v>
      </c>
      <c r="K26" s="1">
        <f>J26*Y26</f>
        <v>0</v>
      </c>
      <c r="L26" s="1">
        <v>30</v>
      </c>
      <c r="M26" s="1">
        <f>L26*Y26</f>
        <v>34.2</v>
      </c>
      <c r="N26" s="37"/>
      <c r="O26" s="37"/>
      <c r="P26" s="37" t="s">
        <v>26</v>
      </c>
      <c r="Q26" s="37"/>
      <c r="R26" s="37"/>
      <c r="S26" s="37"/>
      <c r="T26" s="37"/>
      <c r="U26" s="37"/>
      <c r="V26" s="37"/>
      <c r="W26" s="1" t="s">
        <v>99</v>
      </c>
      <c r="X26" s="38">
        <f>B26+D26+F26+H26+J26+L26</f>
        <v>55.4</v>
      </c>
      <c r="Y26" s="38">
        <v>1.1400000000000001</v>
      </c>
      <c r="Z26" s="43">
        <f>X26*Y26</f>
        <v>63.156000000000006</v>
      </c>
      <c r="AB26" s="1">
        <v>4</v>
      </c>
    </row>
    <row r="27" spans="1:28" ht="12.75">
      <c r="A27" s="5">
        <v>42515</v>
      </c>
      <c r="C27" s="1">
        <f>B27*Y27</f>
        <v>0</v>
      </c>
      <c r="D27" s="1">
        <f>1+3.3</f>
        <v>4.3</v>
      </c>
      <c r="E27" s="1">
        <f>D27*Y27</f>
        <v>4.902</v>
      </c>
      <c r="F27" s="1">
        <v>3</v>
      </c>
      <c r="G27" s="1">
        <f>F27*Y27</f>
        <v>3.4200000000000004</v>
      </c>
      <c r="H27" s="1">
        <f>15+15+130+130</f>
        <v>290</v>
      </c>
      <c r="I27" s="1">
        <f>H27*Y27</f>
        <v>330.6</v>
      </c>
      <c r="K27" s="1">
        <f>J27*Y27</f>
        <v>0</v>
      </c>
      <c r="L27" s="1">
        <v>30</v>
      </c>
      <c r="M27" s="1">
        <f>L27*Y27</f>
        <v>34.2</v>
      </c>
      <c r="N27" s="37"/>
      <c r="O27" s="37"/>
      <c r="P27" s="37" t="s">
        <v>26</v>
      </c>
      <c r="Q27" s="37"/>
      <c r="R27" s="37"/>
      <c r="S27" s="37"/>
      <c r="T27" s="37"/>
      <c r="U27" s="37"/>
      <c r="V27" s="37"/>
      <c r="W27" s="1" t="s">
        <v>99</v>
      </c>
      <c r="X27" s="38">
        <f>B27+D27+F27+H27+J27+L27</f>
        <v>327.3</v>
      </c>
      <c r="Y27" s="38">
        <v>1.1400000000000001</v>
      </c>
      <c r="Z27" s="43">
        <f>X27*Y27</f>
        <v>373.12200000000007</v>
      </c>
      <c r="AB27" s="1">
        <v>4</v>
      </c>
    </row>
    <row r="28" spans="1:28" ht="12.75">
      <c r="A28" s="5">
        <v>42516</v>
      </c>
      <c r="C28" s="1">
        <f>B28*Y28</f>
        <v>0</v>
      </c>
      <c r="D28" s="1">
        <f>1+11.1</f>
        <v>12.1</v>
      </c>
      <c r="E28" s="1">
        <f>D28*Y28</f>
        <v>13.794</v>
      </c>
      <c r="F28" s="1">
        <v>8</v>
      </c>
      <c r="G28" s="1">
        <f>F28*Y28</f>
        <v>9.120000000000001</v>
      </c>
      <c r="I28" s="1">
        <f>H28*Y28</f>
        <v>0</v>
      </c>
      <c r="K28" s="1">
        <f>J28*Y28</f>
        <v>0</v>
      </c>
      <c r="L28" s="1">
        <v>30</v>
      </c>
      <c r="M28" s="1">
        <f>L28*Y28</f>
        <v>34.2</v>
      </c>
      <c r="N28" s="37"/>
      <c r="O28" s="37"/>
      <c r="P28" s="37" t="s">
        <v>26</v>
      </c>
      <c r="Q28" s="37"/>
      <c r="R28" s="37"/>
      <c r="S28" s="37"/>
      <c r="T28" s="37"/>
      <c r="U28" s="37"/>
      <c r="V28" s="37"/>
      <c r="W28" s="1" t="s">
        <v>99</v>
      </c>
      <c r="X28" s="38">
        <f>B28+D28+F28+H28+J28+L28</f>
        <v>50.1</v>
      </c>
      <c r="Y28" s="38">
        <v>1.1400000000000001</v>
      </c>
      <c r="Z28" s="43">
        <f>X28*Y28</f>
        <v>57.114000000000004</v>
      </c>
      <c r="AB28" s="1">
        <v>4</v>
      </c>
    </row>
    <row r="29" spans="1:28" ht="12.75">
      <c r="A29" s="5">
        <v>42517</v>
      </c>
      <c r="C29" s="1">
        <f>B29*Y29</f>
        <v>0</v>
      </c>
      <c r="D29" s="1">
        <v>2</v>
      </c>
      <c r="E29" s="1">
        <f>D29*Y29</f>
        <v>2.2800000000000002</v>
      </c>
      <c r="F29" s="1">
        <v>10</v>
      </c>
      <c r="G29" s="1">
        <f>F29*Y29</f>
        <v>11.400000000000002</v>
      </c>
      <c r="I29" s="1">
        <f>H29*Y29</f>
        <v>0</v>
      </c>
      <c r="J29" s="1">
        <v>2</v>
      </c>
      <c r="K29" s="1">
        <f>J29*Y29</f>
        <v>2.2800000000000002</v>
      </c>
      <c r="L29" s="1">
        <v>30</v>
      </c>
      <c r="M29" s="1">
        <f>L29*Y29</f>
        <v>34.2</v>
      </c>
      <c r="N29" s="37"/>
      <c r="O29" s="37"/>
      <c r="P29" s="37" t="s">
        <v>26</v>
      </c>
      <c r="Q29" s="37"/>
      <c r="R29" s="37"/>
      <c r="S29" s="37"/>
      <c r="T29" s="37"/>
      <c r="U29" s="37"/>
      <c r="V29" s="37"/>
      <c r="W29" s="1" t="s">
        <v>99</v>
      </c>
      <c r="X29" s="38">
        <f>B29+D29+F29+H29+J29+L29</f>
        <v>44</v>
      </c>
      <c r="Y29" s="38">
        <v>1.1400000000000001</v>
      </c>
      <c r="Z29" s="43">
        <f>X29*Y29</f>
        <v>50.160000000000004</v>
      </c>
      <c r="AB29" s="1">
        <v>4</v>
      </c>
    </row>
    <row r="30" spans="1:28" ht="12.75">
      <c r="A30" s="5">
        <v>42518</v>
      </c>
      <c r="C30" s="1">
        <f>B30*Y30</f>
        <v>0</v>
      </c>
      <c r="D30" s="1">
        <f>22+1.5</f>
        <v>23.5</v>
      </c>
      <c r="E30" s="1">
        <f>D30*Y30</f>
        <v>26.790000000000003</v>
      </c>
      <c r="F30" s="1">
        <v>8</v>
      </c>
      <c r="G30" s="1">
        <f>F30*Y30</f>
        <v>9.120000000000001</v>
      </c>
      <c r="I30" s="1">
        <f>H30*Y30</f>
        <v>0</v>
      </c>
      <c r="K30" s="1">
        <f>J30*Y30</f>
        <v>0</v>
      </c>
      <c r="L30" s="1">
        <v>30</v>
      </c>
      <c r="M30" s="1">
        <f>L30*Y30</f>
        <v>34.2</v>
      </c>
      <c r="N30" s="37"/>
      <c r="O30" s="37"/>
      <c r="P30" s="37" t="s">
        <v>26</v>
      </c>
      <c r="Q30" s="37"/>
      <c r="R30" s="37"/>
      <c r="S30" s="37"/>
      <c r="T30" s="37"/>
      <c r="U30" s="37"/>
      <c r="V30" s="37"/>
      <c r="W30" s="1" t="s">
        <v>99</v>
      </c>
      <c r="X30" s="38">
        <f>B30+D30+F30+H30+J30+L30</f>
        <v>61.5</v>
      </c>
      <c r="Y30" s="38">
        <v>1.1400000000000001</v>
      </c>
      <c r="Z30" s="43">
        <f>X30*Y30</f>
        <v>70.11000000000001</v>
      </c>
      <c r="AB30" s="1">
        <v>4</v>
      </c>
    </row>
    <row r="31" spans="1:28" ht="12.75">
      <c r="A31" s="5">
        <v>42519</v>
      </c>
      <c r="B31" s="1">
        <f>3+6+4+3+10+8</f>
        <v>34</v>
      </c>
      <c r="C31" s="1">
        <f>B31*Y31</f>
        <v>38.760000000000005</v>
      </c>
      <c r="D31" s="1">
        <f>5+6.5</f>
        <v>11.5</v>
      </c>
      <c r="E31" s="1">
        <f>D31*Y31</f>
        <v>13.110000000000001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N31" s="37"/>
      <c r="O31" s="37" t="s">
        <v>26</v>
      </c>
      <c r="P31" s="37"/>
      <c r="Q31" s="37"/>
      <c r="R31" s="37"/>
      <c r="S31" s="37"/>
      <c r="T31" s="37"/>
      <c r="U31" s="37"/>
      <c r="V31" s="37"/>
      <c r="W31" s="1" t="s">
        <v>101</v>
      </c>
      <c r="X31" s="38">
        <f>B31+D31+F31+H31+J31+L31</f>
        <v>45.5</v>
      </c>
      <c r="Y31" s="38">
        <v>1.1400000000000001</v>
      </c>
      <c r="Z31" s="43">
        <f>X31*Y31</f>
        <v>51.870000000000005</v>
      </c>
      <c r="AB31" s="1">
        <v>4</v>
      </c>
    </row>
    <row r="32" spans="1:28" ht="12.75">
      <c r="A32" s="5">
        <v>42520</v>
      </c>
      <c r="B32" s="1">
        <f>8+10</f>
        <v>18</v>
      </c>
      <c r="C32" s="1">
        <f>B32*Y32</f>
        <v>20.520000000000003</v>
      </c>
      <c r="D32" s="1">
        <f>4+2</f>
        <v>6</v>
      </c>
      <c r="E32" s="1">
        <f>D32*Y32</f>
        <v>6.840000000000001</v>
      </c>
      <c r="G32" s="1">
        <f>F32*Y32</f>
        <v>0</v>
      </c>
      <c r="H32" s="1">
        <v>20</v>
      </c>
      <c r="I32" s="1">
        <f>H32*Y32</f>
        <v>22.800000000000004</v>
      </c>
      <c r="J32" s="1">
        <v>1</v>
      </c>
      <c r="K32" s="1">
        <f>J32*Y32</f>
        <v>1.1400000000000001</v>
      </c>
      <c r="L32" s="1">
        <v>30</v>
      </c>
      <c r="M32" s="1">
        <f>L32*Y32</f>
        <v>34.2</v>
      </c>
      <c r="N32" s="37"/>
      <c r="O32" s="37"/>
      <c r="P32" s="37" t="s">
        <v>26</v>
      </c>
      <c r="Q32" s="37"/>
      <c r="R32" s="37"/>
      <c r="S32" s="37"/>
      <c r="T32" s="37"/>
      <c r="U32" s="37"/>
      <c r="V32" s="37"/>
      <c r="W32" s="1" t="s">
        <v>102</v>
      </c>
      <c r="X32" s="38">
        <f>B32+D32+F32+H32+J32+L32</f>
        <v>75</v>
      </c>
      <c r="Y32" s="38">
        <v>1.1400000000000001</v>
      </c>
      <c r="Z32" s="43">
        <f>X32*Y32</f>
        <v>85.50000000000001</v>
      </c>
      <c r="AB32" s="1">
        <v>4</v>
      </c>
    </row>
    <row r="33" spans="1:28" ht="12.75">
      <c r="A33" s="3">
        <v>42521</v>
      </c>
      <c r="C33" s="1">
        <f>B33*Y33</f>
        <v>0</v>
      </c>
      <c r="D33" s="1">
        <f>7.2+17.3</f>
        <v>24.5</v>
      </c>
      <c r="E33" s="1">
        <f>D33*Y33</f>
        <v>27.930000000000003</v>
      </c>
      <c r="F33" s="1">
        <v>8</v>
      </c>
      <c r="G33" s="1">
        <f>F33*Y33</f>
        <v>9.120000000000001</v>
      </c>
      <c r="I33" s="1">
        <f>H33*Y33</f>
        <v>0</v>
      </c>
      <c r="K33" s="1">
        <f>J33*Y33</f>
        <v>0</v>
      </c>
      <c r="L33" s="1">
        <v>30</v>
      </c>
      <c r="M33" s="1">
        <f>L33*Y33</f>
        <v>34.2</v>
      </c>
      <c r="N33" s="37"/>
      <c r="O33" s="37"/>
      <c r="P33" s="37" t="s">
        <v>26</v>
      </c>
      <c r="Q33" s="37"/>
      <c r="R33" s="37"/>
      <c r="S33" s="37"/>
      <c r="T33" s="37"/>
      <c r="U33" s="37"/>
      <c r="V33" s="37"/>
      <c r="W33" s="1" t="s">
        <v>99</v>
      </c>
      <c r="X33" s="38">
        <f>B33+D33+F33+H33+J33+L33</f>
        <v>62.5</v>
      </c>
      <c r="Y33" s="38">
        <v>1.1400000000000001</v>
      </c>
      <c r="Z33" s="43">
        <f>X33*Y33</f>
        <v>71.25000000000001</v>
      </c>
      <c r="AB33" s="1">
        <v>4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1.1400000000000001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1.1400000000000001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0.29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Y54" s="1">
        <v>0.005925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4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ht="12.75">
      <c r="C97" s="1">
        <f>B97*Y97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32"/>
  <sheetViews>
    <sheetView zoomScale="90" zoomScaleNormal="90" workbookViewId="0" topLeftCell="Y1">
      <selection activeCell="AS5" sqref="AS5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5.710937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9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2" t="s">
        <v>13</v>
      </c>
      <c r="O1" s="62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2" t="s">
        <v>19</v>
      </c>
      <c r="U1" s="62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42522</v>
      </c>
      <c r="C2" s="1">
        <f>B2*Y2</f>
        <v>0</v>
      </c>
      <c r="D2" s="1">
        <f>7.3+10</f>
        <v>17.3</v>
      </c>
      <c r="E2" s="1">
        <f>D2*Y2</f>
        <v>19.722</v>
      </c>
      <c r="F2" s="1">
        <v>3</v>
      </c>
      <c r="G2" s="1">
        <f>F2*Y2</f>
        <v>3.4200000000000004</v>
      </c>
      <c r="H2" s="1">
        <v>156</v>
      </c>
      <c r="I2" s="1">
        <f>H2*Y2</f>
        <v>177.84000000000003</v>
      </c>
      <c r="K2" s="1">
        <f>J2*Y2</f>
        <v>0</v>
      </c>
      <c r="L2" s="1">
        <v>30</v>
      </c>
      <c r="M2" s="1">
        <f>L2*Y2</f>
        <v>34.2</v>
      </c>
      <c r="N2" s="62"/>
      <c r="O2" s="62"/>
      <c r="P2" s="62" t="s">
        <v>26</v>
      </c>
      <c r="Q2" s="62"/>
      <c r="R2" s="62"/>
      <c r="S2" s="62"/>
      <c r="T2" s="62"/>
      <c r="U2" s="62"/>
      <c r="W2" s="1" t="s">
        <v>99</v>
      </c>
      <c r="X2" s="38">
        <f>B2+D2+F2+H2+J2+L2</f>
        <v>206.3</v>
      </c>
      <c r="Y2" s="38">
        <v>1.1400000000000001</v>
      </c>
      <c r="Z2" s="43">
        <f>X2*Y2</f>
        <v>235.18200000000004</v>
      </c>
      <c r="AB2" s="1">
        <v>4</v>
      </c>
      <c r="AD2" s="44" t="s">
        <v>28</v>
      </c>
      <c r="AE2" s="44">
        <f>SUM(Z2:Z994)</f>
        <v>2728.3585000000007</v>
      </c>
      <c r="AF2" s="44"/>
      <c r="AG2" s="44" t="s">
        <v>29</v>
      </c>
      <c r="AH2" s="58">
        <f>AE2/AE5</f>
        <v>90.94528333333336</v>
      </c>
      <c r="AJ2" s="44" t="s">
        <v>93</v>
      </c>
      <c r="AK2" s="44">
        <f>COUNTBLANK(L2:L40)-COUNTBLANK(A2:A40)</f>
        <v>15</v>
      </c>
      <c r="AL2" s="7"/>
      <c r="AM2" s="7"/>
      <c r="AN2" s="7"/>
      <c r="AO2" s="7"/>
      <c r="AP2" s="59" t="s">
        <v>299</v>
      </c>
      <c r="AQ2" s="59">
        <f>SUMIF(AB2:AB44,"=4",Z2:Z44)</f>
        <v>2728.3585000000007</v>
      </c>
    </row>
    <row r="3" spans="1:43" ht="12.75">
      <c r="A3" s="5">
        <v>42523</v>
      </c>
      <c r="C3" s="1">
        <f>B3*Y3</f>
        <v>0</v>
      </c>
      <c r="D3" s="1">
        <f>16.3</f>
        <v>16.3</v>
      </c>
      <c r="E3" s="1">
        <f>D3*Y3</f>
        <v>18.582000000000004</v>
      </c>
      <c r="F3" s="1">
        <v>8</v>
      </c>
      <c r="G3" s="1">
        <f>F3*Y3</f>
        <v>9.120000000000001</v>
      </c>
      <c r="H3" s="1">
        <f>256+20</f>
        <v>276</v>
      </c>
      <c r="I3" s="1">
        <f>H3*Y3</f>
        <v>314.64000000000004</v>
      </c>
      <c r="J3" s="1">
        <v>10</v>
      </c>
      <c r="K3" s="1">
        <f>J3*Y3</f>
        <v>11.400000000000002</v>
      </c>
      <c r="L3" s="1">
        <v>30</v>
      </c>
      <c r="M3" s="1">
        <f>L3*Y3</f>
        <v>34.2</v>
      </c>
      <c r="N3" s="62"/>
      <c r="O3" s="62"/>
      <c r="P3" s="62" t="s">
        <v>26</v>
      </c>
      <c r="Q3" s="62"/>
      <c r="R3" s="62"/>
      <c r="S3" s="62"/>
      <c r="T3" s="62"/>
      <c r="U3" s="62"/>
      <c r="W3" s="1" t="s">
        <v>99</v>
      </c>
      <c r="X3" s="38">
        <f>B3+D3+F3+H3+J3+L3</f>
        <v>340.3</v>
      </c>
      <c r="Y3" s="38">
        <v>1.1400000000000001</v>
      </c>
      <c r="Z3" s="43">
        <f>X3*Y3</f>
        <v>387.94200000000006</v>
      </c>
      <c r="AB3" s="1">
        <v>4</v>
      </c>
      <c r="AD3" s="49"/>
      <c r="AE3" s="44"/>
      <c r="AF3" s="44"/>
      <c r="AG3" s="49"/>
      <c r="AH3" s="45"/>
      <c r="AJ3" s="44" t="s">
        <v>95</v>
      </c>
      <c r="AK3" s="44">
        <f>COUNT(L2:L36)</f>
        <v>15</v>
      </c>
      <c r="AM3" s="7"/>
      <c r="AN3" s="7"/>
      <c r="AO3" s="7"/>
      <c r="AP3" s="59" t="s">
        <v>301</v>
      </c>
      <c r="AQ3" s="59">
        <f>_xlfn.COUNTIFS(A2:A44,"&lt;&gt;''",AB2:AB44,"=4")</f>
        <v>30</v>
      </c>
    </row>
    <row r="4" spans="1:43" ht="12.75">
      <c r="A4" s="5">
        <v>42524</v>
      </c>
      <c r="C4" s="1">
        <f>B4*Y4</f>
        <v>0</v>
      </c>
      <c r="D4" s="1">
        <v>1.5</v>
      </c>
      <c r="E4" s="1">
        <f>D4*Y4</f>
        <v>1.7100000000000002</v>
      </c>
      <c r="G4" s="1">
        <f>F4*Y4</f>
        <v>0</v>
      </c>
      <c r="I4" s="1">
        <f>H4*Y4</f>
        <v>0</v>
      </c>
      <c r="K4" s="1">
        <f>J4*Y4</f>
        <v>0</v>
      </c>
      <c r="L4" s="1">
        <v>15</v>
      </c>
      <c r="M4" s="1">
        <f>L4*Y4</f>
        <v>17.1</v>
      </c>
      <c r="N4" s="62" t="s">
        <v>26</v>
      </c>
      <c r="O4" s="62"/>
      <c r="P4" s="62"/>
      <c r="Q4" s="62"/>
      <c r="R4" s="62"/>
      <c r="S4" s="62"/>
      <c r="T4" s="62"/>
      <c r="U4" s="62"/>
      <c r="W4" s="1" t="s">
        <v>103</v>
      </c>
      <c r="X4" s="38">
        <f>B4+D4+F4+H4+J4+L4</f>
        <v>16.5</v>
      </c>
      <c r="Y4" s="38">
        <v>1.1400000000000001</v>
      </c>
      <c r="Z4" s="43">
        <f>X4*Y4</f>
        <v>18.810000000000002</v>
      </c>
      <c r="AB4" s="1">
        <v>4</v>
      </c>
      <c r="AD4" s="44"/>
      <c r="AE4" s="44"/>
      <c r="AF4" s="44"/>
      <c r="AG4" s="44"/>
      <c r="AH4" s="44"/>
      <c r="AJ4" s="44" t="s">
        <v>218</v>
      </c>
      <c r="AK4" s="44">
        <f>COUNTA(S2:S49)</f>
        <v>0</v>
      </c>
      <c r="AM4" s="7"/>
      <c r="AN4" s="7"/>
      <c r="AO4" s="7"/>
      <c r="AP4" s="59" t="s">
        <v>302</v>
      </c>
      <c r="AQ4" s="59">
        <f>AQ2/AQ3</f>
        <v>90.94528333333336</v>
      </c>
    </row>
    <row r="5" spans="1:37" ht="12.75">
      <c r="A5" s="5">
        <v>42525</v>
      </c>
      <c r="C5" s="1">
        <f>B5*Y5</f>
        <v>0</v>
      </c>
      <c r="D5" s="1">
        <f>18</f>
        <v>18</v>
      </c>
      <c r="E5" s="1">
        <f>D5*Y5</f>
        <v>20.520000000000003</v>
      </c>
      <c r="G5" s="1">
        <f>F5*Y5</f>
        <v>0</v>
      </c>
      <c r="I5" s="1">
        <f>H5*Y5</f>
        <v>0</v>
      </c>
      <c r="J5" s="1">
        <v>1</v>
      </c>
      <c r="K5" s="1">
        <f>J5*Y5</f>
        <v>1.1400000000000001</v>
      </c>
      <c r="M5" s="1">
        <f>L5*Y5</f>
        <v>0</v>
      </c>
      <c r="N5" s="62" t="s">
        <v>26</v>
      </c>
      <c r="O5" s="62"/>
      <c r="P5" s="62"/>
      <c r="Q5" s="62"/>
      <c r="R5" s="62"/>
      <c r="S5" s="62"/>
      <c r="T5" s="62"/>
      <c r="U5" s="62"/>
      <c r="W5" s="1" t="s">
        <v>103</v>
      </c>
      <c r="X5" s="38">
        <f>B5+D5+F5+H5+J5+L5</f>
        <v>19</v>
      </c>
      <c r="Y5" s="38">
        <v>1.1400000000000001</v>
      </c>
      <c r="Z5" s="43">
        <f>X5*Y5</f>
        <v>21.660000000000004</v>
      </c>
      <c r="AB5" s="1">
        <v>4</v>
      </c>
      <c r="AD5" s="44" t="s">
        <v>42</v>
      </c>
      <c r="AE5" s="44">
        <f>COUNTA(A2:A349)</f>
        <v>30</v>
      </c>
      <c r="AF5" s="44"/>
      <c r="AG5" s="44"/>
      <c r="AH5" s="44"/>
      <c r="AJ5" s="44" t="s">
        <v>264</v>
      </c>
      <c r="AK5" s="44">
        <f>COUNTA(N2:N49)</f>
        <v>2</v>
      </c>
    </row>
    <row r="6" spans="1:37" ht="12.75">
      <c r="A6" s="5">
        <v>42526</v>
      </c>
      <c r="C6" s="1">
        <f>B6*Y6</f>
        <v>0</v>
      </c>
      <c r="D6" s="1">
        <f>2+2+1+3.5+1.5</f>
        <v>10</v>
      </c>
      <c r="E6" s="1">
        <f>D6*Y6</f>
        <v>11.400000000000002</v>
      </c>
      <c r="F6" s="1">
        <f>6+16</f>
        <v>22</v>
      </c>
      <c r="G6" s="1">
        <f>F6*Y6</f>
        <v>25.080000000000002</v>
      </c>
      <c r="I6" s="1">
        <f>H6*Y6</f>
        <v>0</v>
      </c>
      <c r="K6" s="1">
        <f>J6*Y6</f>
        <v>0</v>
      </c>
      <c r="L6" s="1">
        <v>30</v>
      </c>
      <c r="M6" s="1">
        <f>L6*Y6</f>
        <v>34.2</v>
      </c>
      <c r="N6" s="62"/>
      <c r="O6" s="62"/>
      <c r="P6" s="62" t="s">
        <v>26</v>
      </c>
      <c r="Q6" s="62"/>
      <c r="R6" s="62"/>
      <c r="S6" s="62"/>
      <c r="T6" s="62"/>
      <c r="U6" s="62"/>
      <c r="W6" s="1" t="s">
        <v>99</v>
      </c>
      <c r="X6" s="38">
        <f>B6+D6+F6+H6+J6+L6</f>
        <v>62</v>
      </c>
      <c r="Y6" s="38">
        <v>1.1400000000000001</v>
      </c>
      <c r="Z6" s="43">
        <f>X6*Y6</f>
        <v>70.68</v>
      </c>
      <c r="AB6" s="1">
        <v>4</v>
      </c>
      <c r="AD6" s="49"/>
      <c r="AE6" s="44"/>
      <c r="AF6" s="44"/>
      <c r="AG6" s="44"/>
      <c r="AH6" s="44"/>
      <c r="AJ6" s="44" t="s">
        <v>265</v>
      </c>
      <c r="AK6" s="44">
        <f>COUNTA(P2:P49)</f>
        <v>26</v>
      </c>
    </row>
    <row r="7" spans="1:37" ht="12.75">
      <c r="A7" s="5">
        <v>42527</v>
      </c>
      <c r="B7" s="1">
        <f>1.4+120</f>
        <v>121.4</v>
      </c>
      <c r="C7" s="1">
        <f>B7*Y7</f>
        <v>138.39600000000002</v>
      </c>
      <c r="D7" s="1">
        <f>27+3.8</f>
        <v>30.8</v>
      </c>
      <c r="E7" s="1">
        <f>D7*Y7</f>
        <v>35.112</v>
      </c>
      <c r="F7" s="1">
        <v>8</v>
      </c>
      <c r="G7" s="1">
        <f>F7*Y7</f>
        <v>9.120000000000001</v>
      </c>
      <c r="I7" s="1">
        <f>H7*Y7</f>
        <v>0</v>
      </c>
      <c r="J7" s="1">
        <v>10</v>
      </c>
      <c r="K7" s="1">
        <f>J7*Y7</f>
        <v>11.400000000000002</v>
      </c>
      <c r="L7" s="1">
        <v>30</v>
      </c>
      <c r="M7" s="1">
        <f>L7*Y7</f>
        <v>34.2</v>
      </c>
      <c r="N7" s="62"/>
      <c r="O7" s="62"/>
      <c r="P7" s="62" t="s">
        <v>26</v>
      </c>
      <c r="Q7" s="62"/>
      <c r="R7" s="62"/>
      <c r="S7" s="62"/>
      <c r="T7" s="62"/>
      <c r="U7" s="62"/>
      <c r="W7" s="1" t="s">
        <v>99</v>
      </c>
      <c r="X7" s="38">
        <f>B7+D7+F7+H7+J7+L7</f>
        <v>200.20000000000002</v>
      </c>
      <c r="Y7" s="38">
        <v>1.1400000000000001</v>
      </c>
      <c r="Z7" s="43">
        <f>X7*Y7</f>
        <v>228.22800000000004</v>
      </c>
      <c r="AB7" s="1">
        <v>4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COUNTA(Q2:Q49)</f>
        <v>0</v>
      </c>
    </row>
    <row r="8" spans="1:37" ht="12.75">
      <c r="A8" s="5">
        <v>42528</v>
      </c>
      <c r="B8" s="1">
        <f>4</f>
        <v>4</v>
      </c>
      <c r="C8" s="1">
        <f>B8*Y8</f>
        <v>4.5600000000000005</v>
      </c>
      <c r="D8" s="1">
        <f>0.7+2</f>
        <v>2.7</v>
      </c>
      <c r="E8" s="1">
        <f>D8*Y8</f>
        <v>3.0780000000000007</v>
      </c>
      <c r="F8" s="1">
        <v>3</v>
      </c>
      <c r="G8" s="1">
        <f>F8*Y8</f>
        <v>3.4200000000000004</v>
      </c>
      <c r="I8" s="1">
        <f>H8*Y8</f>
        <v>0</v>
      </c>
      <c r="J8" s="1">
        <v>8</v>
      </c>
      <c r="K8" s="1">
        <f>J8*Y8</f>
        <v>9.120000000000001</v>
      </c>
      <c r="M8" s="1">
        <f>L8*Y8</f>
        <v>0</v>
      </c>
      <c r="N8" s="62"/>
      <c r="O8" s="62"/>
      <c r="P8" s="62"/>
      <c r="Q8" s="62"/>
      <c r="R8" s="62"/>
      <c r="S8" s="62"/>
      <c r="T8" s="62"/>
      <c r="U8" s="62" t="s">
        <v>26</v>
      </c>
      <c r="W8" s="1" t="s">
        <v>104</v>
      </c>
      <c r="X8" s="38">
        <f>B8+D8+F8+H8+J8+L8</f>
        <v>17.7</v>
      </c>
      <c r="Y8" s="38">
        <v>1.1400000000000001</v>
      </c>
      <c r="Z8" s="43">
        <f>X8*Y8</f>
        <v>20.178</v>
      </c>
      <c r="AB8" s="1">
        <v>4</v>
      </c>
      <c r="AD8" s="44" t="s">
        <v>48</v>
      </c>
      <c r="AE8" s="54">
        <f>SUM(M2:M994)</f>
        <v>501.19999999999993</v>
      </c>
      <c r="AF8" s="44"/>
      <c r="AG8" s="44" t="s">
        <v>11</v>
      </c>
      <c r="AH8" s="54">
        <f>AE8/$AE$5</f>
        <v>16.706666666666663</v>
      </c>
      <c r="AJ8" s="44" t="s">
        <v>269</v>
      </c>
      <c r="AK8" s="44">
        <f>COUNTA(O2:O49)</f>
        <v>0</v>
      </c>
    </row>
    <row r="9" spans="1:37" ht="12.75">
      <c r="A9" s="5">
        <v>42529</v>
      </c>
      <c r="C9" s="1">
        <f>B9*Y9</f>
        <v>0</v>
      </c>
      <c r="D9" s="1">
        <v>23.6</v>
      </c>
      <c r="E9" s="1">
        <f>D9*Y9</f>
        <v>26.904000000000003</v>
      </c>
      <c r="F9" s="1">
        <v>11</v>
      </c>
      <c r="G9" s="1">
        <f>F9*Y9</f>
        <v>12.540000000000001</v>
      </c>
      <c r="I9" s="1">
        <f>H9*Y9</f>
        <v>0</v>
      </c>
      <c r="K9" s="1">
        <f>J9*Y9</f>
        <v>0</v>
      </c>
      <c r="L9" s="1">
        <v>30</v>
      </c>
      <c r="M9" s="1">
        <f>L9*Y9</f>
        <v>34.2</v>
      </c>
      <c r="N9" s="62"/>
      <c r="O9" s="62"/>
      <c r="P9" s="62" t="s">
        <v>26</v>
      </c>
      <c r="Q9" s="62"/>
      <c r="R9" s="62"/>
      <c r="S9" s="62"/>
      <c r="T9" s="62"/>
      <c r="U9" s="62"/>
      <c r="W9" s="1" t="s">
        <v>105</v>
      </c>
      <c r="X9" s="38">
        <f>B9+D9+F9+H9+J9+L9</f>
        <v>64.6</v>
      </c>
      <c r="Y9" s="38">
        <v>1.1400000000000001</v>
      </c>
      <c r="Z9" s="43">
        <f>X9*Y9</f>
        <v>73.644</v>
      </c>
      <c r="AB9" s="1">
        <v>4</v>
      </c>
      <c r="AD9" s="44" t="s">
        <v>50</v>
      </c>
      <c r="AE9" s="54">
        <f>SUM(C2:C994)</f>
        <v>486.697</v>
      </c>
      <c r="AF9" s="44"/>
      <c r="AG9" s="44" t="s">
        <v>1</v>
      </c>
      <c r="AH9" s="44">
        <f>AE9/$AE$5</f>
        <v>16.223233333333333</v>
      </c>
      <c r="AJ9" s="44" t="s">
        <v>20</v>
      </c>
      <c r="AK9" s="44">
        <f>COUNTA(U3:U50)</f>
        <v>2</v>
      </c>
    </row>
    <row r="10" spans="1:34" ht="12.75">
      <c r="A10" s="5">
        <v>42530</v>
      </c>
      <c r="C10" s="1">
        <f>B10*Y10</f>
        <v>0</v>
      </c>
      <c r="D10" s="1">
        <f>14.3+3.6+4</f>
        <v>21.900000000000002</v>
      </c>
      <c r="E10" s="1">
        <f>D10*Y10</f>
        <v>24.966000000000005</v>
      </c>
      <c r="F10" s="1">
        <v>6</v>
      </c>
      <c r="G10" s="1">
        <f>F10*Y10</f>
        <v>6.840000000000001</v>
      </c>
      <c r="H10" s="1">
        <v>110</v>
      </c>
      <c r="I10" s="1">
        <f>H10*Y10</f>
        <v>125.40000000000002</v>
      </c>
      <c r="K10" s="1">
        <f>J10*Y10</f>
        <v>0</v>
      </c>
      <c r="L10" s="1">
        <v>30</v>
      </c>
      <c r="M10" s="1">
        <f>L10*Y10</f>
        <v>34.2</v>
      </c>
      <c r="N10" s="62"/>
      <c r="O10" s="62"/>
      <c r="P10" s="62" t="s">
        <v>26</v>
      </c>
      <c r="Q10" s="62"/>
      <c r="R10" s="62"/>
      <c r="S10" s="62"/>
      <c r="T10" s="62"/>
      <c r="U10" s="62"/>
      <c r="W10" s="1" t="s">
        <v>105</v>
      </c>
      <c r="X10" s="38">
        <f>B10+D10+F10+H10+J10+L10</f>
        <v>167.9</v>
      </c>
      <c r="Y10" s="38">
        <v>1.1400000000000001</v>
      </c>
      <c r="Z10" s="43">
        <f>X10*Y10</f>
        <v>191.40600000000003</v>
      </c>
      <c r="AB10" s="1">
        <v>4</v>
      </c>
      <c r="AD10" s="44" t="s">
        <v>51</v>
      </c>
      <c r="AE10" s="54">
        <f>SUM(E2:E994)</f>
        <v>466.75350000000003</v>
      </c>
      <c r="AF10" s="44"/>
      <c r="AG10" s="44" t="s">
        <v>52</v>
      </c>
      <c r="AH10" s="44">
        <f>AE10/$AE$5</f>
        <v>15.55845</v>
      </c>
    </row>
    <row r="11" spans="1:34" ht="12.75">
      <c r="A11" s="5">
        <v>42531</v>
      </c>
      <c r="B11" s="1">
        <f>8</f>
        <v>8</v>
      </c>
      <c r="C11" s="1">
        <f>B11*Y11</f>
        <v>9.120000000000001</v>
      </c>
      <c r="D11" s="1">
        <f>12.1+3</f>
        <v>15.1</v>
      </c>
      <c r="E11" s="1">
        <f>D11*Y11</f>
        <v>17.214000000000002</v>
      </c>
      <c r="F11" s="1">
        <v>14</v>
      </c>
      <c r="G11" s="1">
        <f>F11*Y11</f>
        <v>15.96</v>
      </c>
      <c r="I11" s="1">
        <f>H11*Y11</f>
        <v>0</v>
      </c>
      <c r="K11" s="1">
        <f>J11*Y11</f>
        <v>0</v>
      </c>
      <c r="L11" s="1">
        <v>30</v>
      </c>
      <c r="M11" s="1">
        <f>L11*Y11</f>
        <v>34.2</v>
      </c>
      <c r="N11" s="62"/>
      <c r="O11" s="62"/>
      <c r="P11" s="62" t="s">
        <v>26</v>
      </c>
      <c r="Q11" s="62"/>
      <c r="R11" s="62"/>
      <c r="S11" s="62"/>
      <c r="T11" s="62"/>
      <c r="U11" s="62"/>
      <c r="V11" s="1">
        <v>1</v>
      </c>
      <c r="W11" s="1" t="s">
        <v>105</v>
      </c>
      <c r="X11" s="38">
        <f>B11+D11+F11+H11+J11+L11</f>
        <v>67.1</v>
      </c>
      <c r="Y11" s="38">
        <v>1.1400000000000001</v>
      </c>
      <c r="Z11" s="43">
        <f>X11*Y11</f>
        <v>76.494</v>
      </c>
      <c r="AB11" s="1">
        <v>4</v>
      </c>
      <c r="AD11" s="44" t="s">
        <v>54</v>
      </c>
      <c r="AE11" s="54">
        <f>SUM(G2:G994)</f>
        <v>330.08500000000015</v>
      </c>
      <c r="AF11" s="44"/>
      <c r="AG11" s="44" t="s">
        <v>55</v>
      </c>
      <c r="AH11" s="54">
        <f>AE11/$AE$5</f>
        <v>11.002833333333339</v>
      </c>
    </row>
    <row r="12" spans="1:34" ht="12.75">
      <c r="A12" s="5">
        <v>42532</v>
      </c>
      <c r="B12" s="1">
        <v>6</v>
      </c>
      <c r="C12" s="1">
        <f>B12*Y12</f>
        <v>6.840000000000001</v>
      </c>
      <c r="D12" s="1">
        <f>3.9+6.3</f>
        <v>10.2</v>
      </c>
      <c r="E12" s="1">
        <f>D12*Y12</f>
        <v>11.628</v>
      </c>
      <c r="F12" s="1">
        <v>14</v>
      </c>
      <c r="G12" s="1">
        <f>F12*Y12</f>
        <v>15.96</v>
      </c>
      <c r="H12" s="1">
        <v>6</v>
      </c>
      <c r="I12" s="1">
        <f>H12*Y12</f>
        <v>6.840000000000001</v>
      </c>
      <c r="K12" s="1">
        <f>J12*Y12</f>
        <v>0</v>
      </c>
      <c r="L12" s="1">
        <v>30</v>
      </c>
      <c r="M12" s="1">
        <f>L12*Y12</f>
        <v>34.2</v>
      </c>
      <c r="N12" s="62"/>
      <c r="O12" s="62"/>
      <c r="P12" s="62" t="s">
        <v>26</v>
      </c>
      <c r="Q12" s="62"/>
      <c r="R12" s="62"/>
      <c r="S12" s="62"/>
      <c r="T12" s="62"/>
      <c r="U12" s="62"/>
      <c r="V12" s="1">
        <v>1</v>
      </c>
      <c r="W12" s="1" t="s">
        <v>105</v>
      </c>
      <c r="X12" s="38">
        <f>B12+D12+F12+H12+J12+L12</f>
        <v>66.2</v>
      </c>
      <c r="Y12" s="38">
        <v>1.1400000000000001</v>
      </c>
      <c r="Z12" s="43">
        <f>X12*Y12</f>
        <v>75.46800000000002</v>
      </c>
      <c r="AB12" s="1">
        <v>4</v>
      </c>
      <c r="AD12" s="44" t="s">
        <v>57</v>
      </c>
      <c r="AE12" s="54">
        <f>SUM(K2:K994)</f>
        <v>35.90500000000001</v>
      </c>
      <c r="AF12" s="44"/>
      <c r="AG12" s="44" t="s">
        <v>9</v>
      </c>
      <c r="AH12" s="54">
        <f>AE12/$AE$5</f>
        <v>1.1968333333333336</v>
      </c>
    </row>
    <row r="13" spans="1:34" ht="12.75">
      <c r="A13" s="5">
        <v>42533</v>
      </c>
      <c r="C13" s="1">
        <f>B13*Y13</f>
        <v>0</v>
      </c>
      <c r="D13" s="1">
        <f>19.2+1.7</f>
        <v>20.9</v>
      </c>
      <c r="E13" s="1">
        <f>D13*Y13</f>
        <v>23.826</v>
      </c>
      <c r="F13" s="1">
        <v>12</v>
      </c>
      <c r="G13" s="1">
        <f>F13*Y13</f>
        <v>13.680000000000001</v>
      </c>
      <c r="I13" s="1">
        <f>H13*Y13</f>
        <v>0</v>
      </c>
      <c r="K13" s="1">
        <f>J13*Y13</f>
        <v>0</v>
      </c>
      <c r="L13" s="1">
        <v>25</v>
      </c>
      <c r="M13" s="1">
        <f>L13*Y13</f>
        <v>28.500000000000004</v>
      </c>
      <c r="N13" s="62"/>
      <c r="O13" s="62"/>
      <c r="P13" s="62" t="s">
        <v>26</v>
      </c>
      <c r="Q13" s="62"/>
      <c r="R13" s="62"/>
      <c r="S13" s="62"/>
      <c r="T13" s="62"/>
      <c r="U13" s="62"/>
      <c r="V13" s="1">
        <v>1</v>
      </c>
      <c r="W13" s="1" t="s">
        <v>106</v>
      </c>
      <c r="X13" s="38">
        <f>B13+D13+F13+H13+J13+L13</f>
        <v>57.9</v>
      </c>
      <c r="Y13" s="38">
        <v>1.1400000000000001</v>
      </c>
      <c r="Z13" s="43">
        <f>X13*Y13</f>
        <v>66.006</v>
      </c>
      <c r="AB13" s="1">
        <v>4</v>
      </c>
      <c r="AD13" s="44" t="s">
        <v>58</v>
      </c>
      <c r="AE13" s="44">
        <f>SUM(I2:I994)</f>
        <v>907.7180000000002</v>
      </c>
      <c r="AF13" s="44"/>
      <c r="AG13" s="44" t="s">
        <v>7</v>
      </c>
      <c r="AH13" s="54">
        <f>AE13/$AE$5</f>
        <v>30.257266666666673</v>
      </c>
    </row>
    <row r="14" spans="1:28" ht="12.75">
      <c r="A14" s="5">
        <v>42534</v>
      </c>
      <c r="C14" s="1">
        <f>B14*Y14</f>
        <v>0</v>
      </c>
      <c r="D14" s="1">
        <f>3.6+5.4+2</f>
        <v>11</v>
      </c>
      <c r="E14" s="1">
        <f>D14*Y14</f>
        <v>12.540000000000001</v>
      </c>
      <c r="F14" s="1">
        <v>12</v>
      </c>
      <c r="G14" s="1">
        <f>F14*Y14</f>
        <v>13.680000000000001</v>
      </c>
      <c r="H14" s="1">
        <f>4+7.2</f>
        <v>11.2</v>
      </c>
      <c r="I14" s="1">
        <f>H14*Y14</f>
        <v>12.768</v>
      </c>
      <c r="K14" s="1">
        <f>J14*Y14</f>
        <v>0</v>
      </c>
      <c r="L14" s="1">
        <v>25</v>
      </c>
      <c r="M14" s="1">
        <f>L14*Y14</f>
        <v>28.500000000000004</v>
      </c>
      <c r="N14" s="62"/>
      <c r="O14" s="62"/>
      <c r="P14" s="62" t="s">
        <v>26</v>
      </c>
      <c r="Q14" s="62"/>
      <c r="R14" s="62"/>
      <c r="S14" s="62"/>
      <c r="T14" s="62"/>
      <c r="U14" s="62"/>
      <c r="W14" s="1" t="s">
        <v>107</v>
      </c>
      <c r="X14" s="38">
        <f>B14+D14+F14+H14+J14+L14</f>
        <v>59.2</v>
      </c>
      <c r="Y14" s="38">
        <v>1.1400000000000001</v>
      </c>
      <c r="Z14" s="43">
        <f>X14*Y14</f>
        <v>67.48800000000001</v>
      </c>
      <c r="AB14" s="1">
        <v>4</v>
      </c>
    </row>
    <row r="15" spans="1:31" ht="12.75">
      <c r="A15" s="5">
        <v>42535</v>
      </c>
      <c r="C15" s="1">
        <f>B15*Y15</f>
        <v>0</v>
      </c>
      <c r="D15" s="1">
        <f>1.15+13.3</f>
        <v>14.450000000000001</v>
      </c>
      <c r="E15" s="1">
        <f>D15*Y15</f>
        <v>16.473000000000003</v>
      </c>
      <c r="F15" s="1">
        <v>12</v>
      </c>
      <c r="G15" s="1">
        <f>F15*Y15</f>
        <v>13.680000000000001</v>
      </c>
      <c r="I15" s="1">
        <f>H15*Y15</f>
        <v>0</v>
      </c>
      <c r="K15" s="1">
        <f>J15*Y15</f>
        <v>0</v>
      </c>
      <c r="L15" s="1">
        <v>25</v>
      </c>
      <c r="M15" s="1">
        <f>L15*Y15</f>
        <v>28.500000000000004</v>
      </c>
      <c r="N15" s="62"/>
      <c r="O15" s="62"/>
      <c r="P15" s="62" t="s">
        <v>26</v>
      </c>
      <c r="Q15" s="62"/>
      <c r="R15" s="62"/>
      <c r="S15" s="62"/>
      <c r="T15" s="62"/>
      <c r="U15" s="62"/>
      <c r="W15" s="1" t="s">
        <v>107</v>
      </c>
      <c r="X15" s="38">
        <f>B15+D15+F15+H15+J15+L15</f>
        <v>51.45</v>
      </c>
      <c r="Y15" s="38">
        <v>1.1400000000000001</v>
      </c>
      <c r="Z15" s="43">
        <f>X15*Y15</f>
        <v>58.65300000000001</v>
      </c>
      <c r="AB15" s="1">
        <v>4</v>
      </c>
      <c r="AD15" s="8"/>
      <c r="AE15" s="8"/>
    </row>
    <row r="16" spans="1:30" ht="12.75">
      <c r="A16" s="5">
        <v>42536</v>
      </c>
      <c r="B16" s="1">
        <f>42+4</f>
        <v>46</v>
      </c>
      <c r="C16" s="1">
        <f>B16*Y16</f>
        <v>52.440000000000005</v>
      </c>
      <c r="D16" s="1">
        <f>1</f>
        <v>1</v>
      </c>
      <c r="E16" s="1">
        <f>D16*Y16</f>
        <v>1.1400000000000001</v>
      </c>
      <c r="F16" s="1">
        <v>10</v>
      </c>
      <c r="G16" s="1">
        <f>F16*Y16</f>
        <v>11.400000000000002</v>
      </c>
      <c r="I16" s="1">
        <f>H16*Y16</f>
        <v>0</v>
      </c>
      <c r="J16" s="1">
        <v>1.5</v>
      </c>
      <c r="K16" s="1">
        <f>J16*Y16</f>
        <v>1.7100000000000002</v>
      </c>
      <c r="M16" s="1">
        <f>L16*Y16</f>
        <v>0</v>
      </c>
      <c r="N16" s="62"/>
      <c r="O16" s="62"/>
      <c r="P16" s="62" t="s">
        <v>26</v>
      </c>
      <c r="Q16" s="62"/>
      <c r="R16" s="62"/>
      <c r="S16" s="62"/>
      <c r="T16" s="62"/>
      <c r="U16" s="62"/>
      <c r="W16" s="1" t="s">
        <v>108</v>
      </c>
      <c r="X16" s="38">
        <f>B16+D16+F16+H16+J16+L16</f>
        <v>58.5</v>
      </c>
      <c r="Y16" s="38">
        <v>1.1400000000000001</v>
      </c>
      <c r="Z16" s="43">
        <f>X16*Y16</f>
        <v>66.69000000000001</v>
      </c>
      <c r="AB16" s="1">
        <v>4</v>
      </c>
      <c r="AD16" s="8"/>
    </row>
    <row r="17" spans="1:28" ht="12.75">
      <c r="A17" s="5">
        <v>42537</v>
      </c>
      <c r="B17" s="1">
        <f>2+3</f>
        <v>5</v>
      </c>
      <c r="C17" s="1">
        <f>B17*Y17</f>
        <v>5.700000000000001</v>
      </c>
      <c r="D17" s="1">
        <v>30.7</v>
      </c>
      <c r="E17" s="1">
        <f>D17*Y17</f>
        <v>34.998000000000005</v>
      </c>
      <c r="F17" s="1">
        <v>14</v>
      </c>
      <c r="G17" s="1">
        <f>F17*Y17</f>
        <v>15.96</v>
      </c>
      <c r="I17" s="1">
        <f>H17*Y17</f>
        <v>0</v>
      </c>
      <c r="K17" s="1">
        <f>J17*Y17</f>
        <v>0</v>
      </c>
      <c r="M17" s="1">
        <f>L17*Y17</f>
        <v>0</v>
      </c>
      <c r="N17" s="62"/>
      <c r="O17" s="62"/>
      <c r="P17" s="62" t="s">
        <v>26</v>
      </c>
      <c r="Q17" s="62"/>
      <c r="R17" s="62"/>
      <c r="S17" s="62"/>
      <c r="T17" s="62"/>
      <c r="U17" s="62"/>
      <c r="W17" s="1" t="s">
        <v>109</v>
      </c>
      <c r="X17" s="38">
        <f>B17+D17+F17+H17+J17+L17</f>
        <v>49.7</v>
      </c>
      <c r="Y17" s="38">
        <v>1.1400000000000001</v>
      </c>
      <c r="Z17" s="43">
        <f>X17*Y17</f>
        <v>56.65800000000001</v>
      </c>
      <c r="AB17" s="1">
        <v>4</v>
      </c>
    </row>
    <row r="18" spans="1:28" ht="12.75">
      <c r="A18" s="5">
        <v>42538</v>
      </c>
      <c r="B18" s="1">
        <f>3+3+2.4+3</f>
        <v>11.4</v>
      </c>
      <c r="C18" s="1">
        <f>B18*Y18</f>
        <v>12.996000000000002</v>
      </c>
      <c r="E18" s="1">
        <f>D18*Y18</f>
        <v>0</v>
      </c>
      <c r="F18" s="1">
        <v>10</v>
      </c>
      <c r="G18" s="1">
        <f>F18*Y18</f>
        <v>11.400000000000002</v>
      </c>
      <c r="I18" s="1">
        <f>H18*Y18</f>
        <v>0</v>
      </c>
      <c r="K18" s="1">
        <f>J18*Y18</f>
        <v>0</v>
      </c>
      <c r="L18" s="1">
        <v>30</v>
      </c>
      <c r="M18" s="1">
        <f>L18*Y18</f>
        <v>34.2</v>
      </c>
      <c r="N18" s="62"/>
      <c r="O18" s="62"/>
      <c r="P18" s="62" t="s">
        <v>26</v>
      </c>
      <c r="Q18" s="62"/>
      <c r="R18" s="62"/>
      <c r="S18" s="62"/>
      <c r="T18" s="62"/>
      <c r="U18" s="62"/>
      <c r="W18" s="1" t="s">
        <v>109</v>
      </c>
      <c r="X18" s="38">
        <f>B18+D18+F18+H18+J18+L18</f>
        <v>51.4</v>
      </c>
      <c r="Y18" s="38">
        <v>1.1400000000000001</v>
      </c>
      <c r="Z18" s="43">
        <f>X18*Y18</f>
        <v>58.596000000000004</v>
      </c>
      <c r="AB18" s="1">
        <v>4</v>
      </c>
    </row>
    <row r="19" spans="1:28" ht="12.75">
      <c r="A19" s="5">
        <v>42539</v>
      </c>
      <c r="B19" s="1">
        <v>6</v>
      </c>
      <c r="C19" s="1">
        <f>B19*Y19</f>
        <v>6.840000000000001</v>
      </c>
      <c r="D19" s="1">
        <v>21</v>
      </c>
      <c r="E19" s="1">
        <f>D19*Y19</f>
        <v>23.94</v>
      </c>
      <c r="F19" s="1">
        <v>12</v>
      </c>
      <c r="G19" s="1">
        <f>F19*Y19</f>
        <v>13.680000000000001</v>
      </c>
      <c r="I19" s="1">
        <f>H19*Y19</f>
        <v>0</v>
      </c>
      <c r="K19" s="1">
        <f>J19*Y19</f>
        <v>0</v>
      </c>
      <c r="M19" s="1">
        <f>L19*Y19</f>
        <v>0</v>
      </c>
      <c r="N19" s="62"/>
      <c r="O19" s="62"/>
      <c r="P19" s="62" t="s">
        <v>26</v>
      </c>
      <c r="Q19" s="62"/>
      <c r="R19" s="62"/>
      <c r="S19" s="62"/>
      <c r="T19" s="62"/>
      <c r="U19" s="62"/>
      <c r="W19" s="1" t="s">
        <v>109</v>
      </c>
      <c r="X19" s="38">
        <f>B19+D19+F19+H19+J19+L19</f>
        <v>39</v>
      </c>
      <c r="Y19" s="38">
        <v>1.1400000000000001</v>
      </c>
      <c r="Z19" s="43">
        <f>X19*Y19</f>
        <v>44.46000000000001</v>
      </c>
      <c r="AB19" s="1">
        <v>4</v>
      </c>
    </row>
    <row r="20" spans="1:28" ht="12.75">
      <c r="A20" s="5">
        <v>42540</v>
      </c>
      <c r="B20" s="1">
        <f>3+8+7+3</f>
        <v>21</v>
      </c>
      <c r="C20" s="1">
        <f>B20*Y20</f>
        <v>23.94</v>
      </c>
      <c r="D20" s="1">
        <v>25.6</v>
      </c>
      <c r="E20" s="1">
        <f>D20*Y20</f>
        <v>29.184000000000005</v>
      </c>
      <c r="F20" s="1">
        <v>16</v>
      </c>
      <c r="G20" s="1">
        <f>F20*Y20</f>
        <v>18.240000000000002</v>
      </c>
      <c r="H20" s="1">
        <v>20</v>
      </c>
      <c r="I20" s="1">
        <f>H20*Y20</f>
        <v>22.800000000000004</v>
      </c>
      <c r="K20" s="1">
        <f>J20*Y20</f>
        <v>0</v>
      </c>
      <c r="M20" s="1">
        <f>L20*Y20</f>
        <v>0</v>
      </c>
      <c r="N20" s="62"/>
      <c r="O20" s="62"/>
      <c r="P20" s="62" t="s">
        <v>26</v>
      </c>
      <c r="Q20" s="62"/>
      <c r="R20" s="62"/>
      <c r="S20" s="62"/>
      <c r="T20" s="62"/>
      <c r="U20" s="62"/>
      <c r="W20" s="1" t="s">
        <v>109</v>
      </c>
      <c r="X20" s="38">
        <f>B20+D20+F20+H20+J20+L20</f>
        <v>82.6</v>
      </c>
      <c r="Y20" s="38">
        <v>1.1400000000000001</v>
      </c>
      <c r="Z20" s="43">
        <f>X20*Y20</f>
        <v>94.164</v>
      </c>
      <c r="AB20" s="1">
        <v>4</v>
      </c>
    </row>
    <row r="21" spans="1:28" ht="12.75">
      <c r="A21" s="5">
        <v>42541</v>
      </c>
      <c r="B21" s="1">
        <f>30+2+3</f>
        <v>35</v>
      </c>
      <c r="C21" s="1">
        <f>B21*Y21</f>
        <v>39.725</v>
      </c>
      <c r="D21" s="1">
        <v>2.5</v>
      </c>
      <c r="E21" s="1">
        <f>D21*Y21</f>
        <v>2.8375</v>
      </c>
      <c r="F21" s="1">
        <v>9</v>
      </c>
      <c r="G21" s="1">
        <f>F21*Y21</f>
        <v>10.215</v>
      </c>
      <c r="I21" s="1">
        <f>H21*Y21</f>
        <v>0</v>
      </c>
      <c r="K21" s="1">
        <f>J21*Y21</f>
        <v>0</v>
      </c>
      <c r="M21" s="1">
        <f>L21*Y21</f>
        <v>0</v>
      </c>
      <c r="N21" s="62"/>
      <c r="O21" s="62"/>
      <c r="P21" s="62" t="s">
        <v>26</v>
      </c>
      <c r="Q21" s="62"/>
      <c r="R21" s="62"/>
      <c r="S21" s="62"/>
      <c r="T21" s="62"/>
      <c r="U21" s="62"/>
      <c r="W21" s="1" t="s">
        <v>110</v>
      </c>
      <c r="X21" s="38">
        <f>B21+D21+F21+H21+J21+L21</f>
        <v>46.5</v>
      </c>
      <c r="Y21" s="38">
        <v>1.135</v>
      </c>
      <c r="Z21" s="43">
        <f>X21*Y21</f>
        <v>52.7775</v>
      </c>
      <c r="AB21" s="1">
        <v>4</v>
      </c>
    </row>
    <row r="22" spans="1:28" ht="12.75">
      <c r="A22" s="5">
        <v>42542</v>
      </c>
      <c r="B22" s="1">
        <f>10</f>
        <v>10</v>
      </c>
      <c r="C22" s="1">
        <f>B22*Y22</f>
        <v>11.35</v>
      </c>
      <c r="D22" s="1">
        <f>2.8+2</f>
        <v>4.8</v>
      </c>
      <c r="E22" s="1">
        <f>D22*Y22</f>
        <v>5.4479999999999995</v>
      </c>
      <c r="G22" s="1">
        <f>F22*Y22</f>
        <v>0</v>
      </c>
      <c r="H22" s="1">
        <f>22+10</f>
        <v>32</v>
      </c>
      <c r="I22" s="1">
        <f>H22*Y22</f>
        <v>36.32</v>
      </c>
      <c r="K22" s="1">
        <f>J22*Y22</f>
        <v>0</v>
      </c>
      <c r="M22" s="1">
        <f>L22*Y22</f>
        <v>0</v>
      </c>
      <c r="N22" s="62"/>
      <c r="O22" s="62"/>
      <c r="P22" s="62" t="s">
        <v>26</v>
      </c>
      <c r="Q22" s="62"/>
      <c r="R22" s="62"/>
      <c r="S22" s="62"/>
      <c r="T22" s="62"/>
      <c r="U22" s="62"/>
      <c r="V22" s="1">
        <v>1</v>
      </c>
      <c r="W22" s="1" t="s">
        <v>111</v>
      </c>
      <c r="X22" s="38">
        <f>B22+D22+F22+H22+J22+L22</f>
        <v>46.8</v>
      </c>
      <c r="Y22" s="38">
        <v>1.135</v>
      </c>
      <c r="Z22" s="43">
        <f>X22*Y22</f>
        <v>53.117999999999995</v>
      </c>
      <c r="AB22" s="1">
        <v>4</v>
      </c>
    </row>
    <row r="23" spans="1:28" ht="12.75">
      <c r="A23" s="5">
        <v>42543</v>
      </c>
      <c r="B23" s="1">
        <f>8+5+50</f>
        <v>63</v>
      </c>
      <c r="C23" s="1">
        <f>B23*Y23</f>
        <v>71.505</v>
      </c>
      <c r="D23" s="1">
        <f>10.7</f>
        <v>10.7</v>
      </c>
      <c r="E23" s="1">
        <f>D23*Y23</f>
        <v>12.144499999999999</v>
      </c>
      <c r="F23" s="1">
        <v>10</v>
      </c>
      <c r="G23" s="1">
        <f>F23*Y23</f>
        <v>11.35</v>
      </c>
      <c r="I23" s="1">
        <f>H23*Y23</f>
        <v>0</v>
      </c>
      <c r="K23" s="1">
        <f>J23*Y23</f>
        <v>0</v>
      </c>
      <c r="M23" s="1">
        <f>L23*Y23</f>
        <v>0</v>
      </c>
      <c r="N23" s="62"/>
      <c r="O23" s="62"/>
      <c r="P23" s="62" t="s">
        <v>26</v>
      </c>
      <c r="Q23" s="62"/>
      <c r="R23" s="62"/>
      <c r="S23" s="62"/>
      <c r="T23" s="62"/>
      <c r="U23" s="62"/>
      <c r="W23" s="1" t="s">
        <v>112</v>
      </c>
      <c r="X23" s="38">
        <f>B23+D23+F23+H23+J23+L23</f>
        <v>83.7</v>
      </c>
      <c r="Y23" s="38">
        <v>1.135</v>
      </c>
      <c r="Z23" s="43">
        <f>X23*Y23</f>
        <v>94.9995</v>
      </c>
      <c r="AB23" s="1">
        <v>4</v>
      </c>
    </row>
    <row r="24" spans="1:28" ht="12.75">
      <c r="A24" s="5">
        <v>42544</v>
      </c>
      <c r="C24" s="1">
        <f>B24*Y24</f>
        <v>0</v>
      </c>
      <c r="D24" s="1">
        <v>10.5</v>
      </c>
      <c r="E24" s="1">
        <f>D24*Y24</f>
        <v>11.9175</v>
      </c>
      <c r="F24" s="1">
        <v>10</v>
      </c>
      <c r="G24" s="1">
        <f>F24*Y24</f>
        <v>11.35</v>
      </c>
      <c r="H24" s="1">
        <v>100</v>
      </c>
      <c r="I24" s="1">
        <f>H24*Y24</f>
        <v>113.5</v>
      </c>
      <c r="K24" s="1">
        <f>J24*Y24</f>
        <v>0</v>
      </c>
      <c r="M24" s="1">
        <f>L24*Y24</f>
        <v>0</v>
      </c>
      <c r="N24" s="62"/>
      <c r="O24" s="62"/>
      <c r="P24" s="62" t="s">
        <v>26</v>
      </c>
      <c r="Q24" s="62"/>
      <c r="R24" s="62"/>
      <c r="S24" s="62"/>
      <c r="T24" s="62"/>
      <c r="U24" s="62"/>
      <c r="W24" s="1" t="s">
        <v>113</v>
      </c>
      <c r="X24" s="38">
        <f>B24+D24+F24+H24+J24+L24</f>
        <v>120.5</v>
      </c>
      <c r="Y24" s="38">
        <v>1.135</v>
      </c>
      <c r="Z24" s="43">
        <f>X24*Y24</f>
        <v>136.7675</v>
      </c>
      <c r="AB24" s="1">
        <v>4</v>
      </c>
    </row>
    <row r="25" spans="1:28" ht="12.75">
      <c r="A25" s="5">
        <v>42545</v>
      </c>
      <c r="C25" s="1">
        <f>B25*Y25</f>
        <v>0</v>
      </c>
      <c r="D25" s="1">
        <f>2.8+2</f>
        <v>4.8</v>
      </c>
      <c r="E25" s="1">
        <f>D25*Y25</f>
        <v>5.4479999999999995</v>
      </c>
      <c r="F25" s="1">
        <v>10</v>
      </c>
      <c r="G25" s="1">
        <f>F25*Y25</f>
        <v>11.35</v>
      </c>
      <c r="H25" s="1">
        <v>20</v>
      </c>
      <c r="I25" s="1">
        <f>H25*Y25</f>
        <v>22.7</v>
      </c>
      <c r="K25" s="1">
        <f>J25*Y25</f>
        <v>0</v>
      </c>
      <c r="M25" s="1">
        <f>L25*Y25</f>
        <v>0</v>
      </c>
      <c r="N25" s="62"/>
      <c r="O25" s="62"/>
      <c r="P25" s="62" t="s">
        <v>26</v>
      </c>
      <c r="Q25" s="62"/>
      <c r="R25" s="62"/>
      <c r="S25" s="62"/>
      <c r="T25" s="62"/>
      <c r="U25" s="62"/>
      <c r="W25" s="1" t="s">
        <v>113</v>
      </c>
      <c r="X25" s="38">
        <f>B25+D25+F25+H25+J25+L25</f>
        <v>34.8</v>
      </c>
      <c r="Y25" s="38">
        <v>1.135</v>
      </c>
      <c r="Z25" s="43">
        <f>X25*Y25</f>
        <v>39.498</v>
      </c>
      <c r="AB25" s="1">
        <v>4</v>
      </c>
    </row>
    <row r="26" spans="1:28" ht="12.75">
      <c r="A26" s="5">
        <v>42546</v>
      </c>
      <c r="C26" s="1">
        <f>B26*Y26</f>
        <v>0</v>
      </c>
      <c r="D26" s="1">
        <f>19.2+2</f>
        <v>21.2</v>
      </c>
      <c r="E26" s="1">
        <f>D26*Y26</f>
        <v>24.061999999999998</v>
      </c>
      <c r="F26" s="1">
        <v>10</v>
      </c>
      <c r="G26" s="1">
        <f>F26*Y26</f>
        <v>11.35</v>
      </c>
      <c r="H26" s="1">
        <v>20</v>
      </c>
      <c r="I26" s="1">
        <f>H26*Y26</f>
        <v>22.7</v>
      </c>
      <c r="J26" s="1">
        <v>1</v>
      </c>
      <c r="K26" s="1">
        <f>J26*Y26</f>
        <v>1.135</v>
      </c>
      <c r="M26" s="1">
        <f>L26*Y26</f>
        <v>0</v>
      </c>
      <c r="N26" s="62"/>
      <c r="O26" s="62"/>
      <c r="P26" s="62" t="s">
        <v>26</v>
      </c>
      <c r="Q26" s="62"/>
      <c r="R26" s="62"/>
      <c r="S26" s="62"/>
      <c r="T26" s="62"/>
      <c r="U26" s="62"/>
      <c r="W26" s="1" t="s">
        <v>113</v>
      </c>
      <c r="X26" s="38">
        <f>B26+D26+F26+H26+J26+L26</f>
        <v>52.2</v>
      </c>
      <c r="Y26" s="38">
        <v>1.135</v>
      </c>
      <c r="Z26" s="43">
        <f>X26*Y26</f>
        <v>59.24700000000001</v>
      </c>
      <c r="AB26" s="1">
        <v>4</v>
      </c>
    </row>
    <row r="27" spans="1:28" ht="12.75">
      <c r="A27" s="5">
        <v>42547</v>
      </c>
      <c r="C27" s="1">
        <f>B27*Y27</f>
        <v>0</v>
      </c>
      <c r="E27" s="1">
        <f>D27*Y27</f>
        <v>0</v>
      </c>
      <c r="F27" s="1">
        <v>10</v>
      </c>
      <c r="G27" s="1">
        <f>F27*Y27</f>
        <v>11.35</v>
      </c>
      <c r="H27" s="1">
        <v>20</v>
      </c>
      <c r="I27" s="1">
        <f>H27*Y27</f>
        <v>22.7</v>
      </c>
      <c r="K27" s="1">
        <f>J27*Y27</f>
        <v>0</v>
      </c>
      <c r="M27" s="1">
        <f>L27*Y27</f>
        <v>0</v>
      </c>
      <c r="N27" s="62"/>
      <c r="O27" s="62"/>
      <c r="P27" s="62" t="s">
        <v>26</v>
      </c>
      <c r="Q27" s="62"/>
      <c r="R27" s="62"/>
      <c r="S27" s="62"/>
      <c r="T27" s="62"/>
      <c r="U27" s="62"/>
      <c r="W27" s="1" t="s">
        <v>113</v>
      </c>
      <c r="X27" s="38">
        <f>B27+D27+F27+H27+J27+L27</f>
        <v>30</v>
      </c>
      <c r="Y27" s="38">
        <v>1.135</v>
      </c>
      <c r="Z27" s="43">
        <f>X27*Y27</f>
        <v>34.05</v>
      </c>
      <c r="AB27" s="1">
        <v>4</v>
      </c>
    </row>
    <row r="28" spans="1:28" ht="12.75">
      <c r="A28" s="5">
        <v>42548</v>
      </c>
      <c r="B28" s="1">
        <f>60+20</f>
        <v>80</v>
      </c>
      <c r="C28" s="1">
        <f>B28*Y28</f>
        <v>90.8</v>
      </c>
      <c r="D28" s="1">
        <f>1.5+4.2</f>
        <v>5.7</v>
      </c>
      <c r="E28" s="1">
        <f>D28*Y28</f>
        <v>6.4695</v>
      </c>
      <c r="F28" s="1">
        <v>10</v>
      </c>
      <c r="G28" s="1">
        <f>F28*Y28</f>
        <v>11.35</v>
      </c>
      <c r="H28" s="1">
        <v>6</v>
      </c>
      <c r="I28" s="1">
        <f>H28*Y28</f>
        <v>6.8100000000000005</v>
      </c>
      <c r="K28" s="1">
        <f>J28*Y28</f>
        <v>0</v>
      </c>
      <c r="M28" s="1">
        <f>L28*Y28</f>
        <v>0</v>
      </c>
      <c r="N28" s="62"/>
      <c r="O28" s="62"/>
      <c r="P28" s="62" t="s">
        <v>26</v>
      </c>
      <c r="Q28" s="62"/>
      <c r="R28" s="62"/>
      <c r="S28" s="62"/>
      <c r="T28" s="62"/>
      <c r="U28" s="62"/>
      <c r="W28" s="1" t="s">
        <v>114</v>
      </c>
      <c r="X28" s="38">
        <f>B28+D28+F28+H28+J28+L28</f>
        <v>101.7</v>
      </c>
      <c r="Y28" s="38">
        <v>1.135</v>
      </c>
      <c r="Z28" s="43">
        <f>X28*Y28</f>
        <v>115.4295</v>
      </c>
      <c r="AB28" s="1">
        <v>4</v>
      </c>
    </row>
    <row r="29" spans="1:28" ht="12.75">
      <c r="A29" s="5">
        <v>42549</v>
      </c>
      <c r="C29" s="1">
        <f>B29*Y29</f>
        <v>0</v>
      </c>
      <c r="D29" s="1">
        <f>7.9+3</f>
        <v>10.9</v>
      </c>
      <c r="E29" s="1">
        <f>D29*Y29</f>
        <v>12.371500000000001</v>
      </c>
      <c r="F29" s="1">
        <v>10</v>
      </c>
      <c r="G29" s="1">
        <f>F29*Y29</f>
        <v>11.35</v>
      </c>
      <c r="I29" s="1">
        <f>H29*Y29</f>
        <v>0</v>
      </c>
      <c r="K29" s="1">
        <f>J29*Y29</f>
        <v>0</v>
      </c>
      <c r="M29" s="1">
        <f>L29*Y29</f>
        <v>0</v>
      </c>
      <c r="N29" s="62"/>
      <c r="O29" s="62"/>
      <c r="P29" s="62"/>
      <c r="Q29" s="62"/>
      <c r="R29" s="62"/>
      <c r="S29" s="62"/>
      <c r="T29" s="62"/>
      <c r="U29" s="62" t="s">
        <v>26</v>
      </c>
      <c r="W29" s="1" t="s">
        <v>115</v>
      </c>
      <c r="X29" s="38">
        <f>B29+D29+F29+H29+J29+L29</f>
        <v>20.9</v>
      </c>
      <c r="Y29" s="38">
        <v>1.135</v>
      </c>
      <c r="Z29" s="43">
        <f>X29*Y29</f>
        <v>23.7215</v>
      </c>
      <c r="AB29" s="1">
        <v>4</v>
      </c>
    </row>
    <row r="30" spans="1:28" ht="12.75">
      <c r="A30" s="5">
        <v>42550</v>
      </c>
      <c r="B30" s="1">
        <f>6</f>
        <v>6</v>
      </c>
      <c r="C30" s="1">
        <f>B30*Y30</f>
        <v>6.8100000000000005</v>
      </c>
      <c r="D30" s="1">
        <f>34</f>
        <v>34</v>
      </c>
      <c r="E30" s="1">
        <f>D30*Y30</f>
        <v>38.59</v>
      </c>
      <c r="F30" s="1">
        <v>12</v>
      </c>
      <c r="G30" s="1">
        <f>F30*Y30</f>
        <v>13.620000000000001</v>
      </c>
      <c r="I30" s="1">
        <f>H30*Y30</f>
        <v>0</v>
      </c>
      <c r="K30" s="1">
        <f>J30*Y30</f>
        <v>0</v>
      </c>
      <c r="L30" s="1">
        <v>40</v>
      </c>
      <c r="M30" s="1">
        <f>L30*Y30</f>
        <v>45.4</v>
      </c>
      <c r="N30" s="62"/>
      <c r="O30" s="62"/>
      <c r="P30" s="62" t="s">
        <v>26</v>
      </c>
      <c r="Q30" s="62"/>
      <c r="R30" s="62"/>
      <c r="S30" s="62"/>
      <c r="T30" s="62"/>
      <c r="U30" s="62"/>
      <c r="W30" s="1" t="s">
        <v>116</v>
      </c>
      <c r="X30" s="38">
        <f>B30+D30+F30+H30+J30+L30</f>
        <v>92</v>
      </c>
      <c r="Y30" s="38">
        <v>1.135</v>
      </c>
      <c r="Z30" s="43">
        <f>X30*Y30</f>
        <v>104.42</v>
      </c>
      <c r="AB30" s="1">
        <v>4</v>
      </c>
    </row>
    <row r="31" spans="1:28" ht="12.75">
      <c r="A31" s="5">
        <v>42551</v>
      </c>
      <c r="B31" s="1">
        <v>5</v>
      </c>
      <c r="C31" s="1">
        <f>B31*Y31</f>
        <v>5.675</v>
      </c>
      <c r="D31" s="1">
        <f>2+3.5+7.3</f>
        <v>12.8</v>
      </c>
      <c r="E31" s="1">
        <f>D31*Y31</f>
        <v>14.528</v>
      </c>
      <c r="F31" s="1">
        <v>12</v>
      </c>
      <c r="G31" s="1">
        <f>F31*Y31</f>
        <v>13.620000000000001</v>
      </c>
      <c r="H31" s="1">
        <v>20</v>
      </c>
      <c r="I31" s="1">
        <f>H31*Y31</f>
        <v>22.7</v>
      </c>
      <c r="K31" s="1">
        <f>J31*Y31</f>
        <v>0</v>
      </c>
      <c r="L31" s="1">
        <v>40</v>
      </c>
      <c r="M31" s="1">
        <f>L31*Y31</f>
        <v>45.4</v>
      </c>
      <c r="N31" s="62"/>
      <c r="O31" s="62"/>
      <c r="P31" s="62" t="s">
        <v>26</v>
      </c>
      <c r="Q31" s="62"/>
      <c r="R31" s="62"/>
      <c r="S31" s="62"/>
      <c r="T31" s="62"/>
      <c r="U31" s="62"/>
      <c r="W31" s="1" t="s">
        <v>116</v>
      </c>
      <c r="X31" s="38">
        <f>B31+D31+F31+H31+J31+L31</f>
        <v>89.8</v>
      </c>
      <c r="Y31" s="38">
        <v>1.135</v>
      </c>
      <c r="Z31" s="43">
        <f>X31*Y31</f>
        <v>101.923</v>
      </c>
      <c r="AB31" s="1">
        <v>4</v>
      </c>
    </row>
    <row r="32" spans="1:28" ht="12.75">
      <c r="A32" s="5"/>
      <c r="C32" s="1">
        <f>B32*Y32</f>
        <v>0</v>
      </c>
      <c r="E32" s="1">
        <f>D32*Y32</f>
        <v>0</v>
      </c>
      <c r="G32" s="1">
        <f>F32*Y32</f>
        <v>0</v>
      </c>
      <c r="I32" s="1">
        <f>H32*Y32</f>
        <v>0</v>
      </c>
      <c r="K32" s="1">
        <f>J32*Y32</f>
        <v>0</v>
      </c>
      <c r="M32" s="1">
        <f>L32*Y32</f>
        <v>0</v>
      </c>
      <c r="X32" s="1">
        <f>B32+D32+F32+H32+J32+L32</f>
        <v>0</v>
      </c>
      <c r="Y32" s="1">
        <v>1.135</v>
      </c>
      <c r="Z32" s="2">
        <f>X32*Y32</f>
        <v>0</v>
      </c>
      <c r="AB32" s="1">
        <v>4</v>
      </c>
    </row>
    <row r="33" spans="1:28" ht="12.75">
      <c r="A33" s="3"/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1.135</v>
      </c>
      <c r="Z33" s="2">
        <f>X33*Y33</f>
        <v>0</v>
      </c>
      <c r="AB33" s="1">
        <v>4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1.135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1.135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0.29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Y54" s="1">
        <v>0.005925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4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ht="12.75">
      <c r="C97" s="1">
        <f>B97*Y97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32"/>
  <sheetViews>
    <sheetView zoomScale="90" zoomScaleNormal="90" workbookViewId="0" topLeftCell="X1">
      <selection activeCell="AQ22" sqref="AQ22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5.7109375" style="1" customWidth="1"/>
    <col min="24" max="24" width="17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5.0039062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42552</v>
      </c>
      <c r="C2" s="1">
        <f>B2*Y2</f>
        <v>0</v>
      </c>
      <c r="D2" s="1">
        <f>18.4+3.5</f>
        <v>21.9</v>
      </c>
      <c r="E2" s="1">
        <f>D2*Y2</f>
        <v>24.966</v>
      </c>
      <c r="G2" s="1">
        <f>F2*Y2</f>
        <v>0</v>
      </c>
      <c r="I2" s="1">
        <f>H2*Y2</f>
        <v>0</v>
      </c>
      <c r="J2" s="1">
        <f>4.4</f>
        <v>4.4</v>
      </c>
      <c r="K2" s="1">
        <f>J2*Y2</f>
        <v>5.016000000000001</v>
      </c>
      <c r="L2" s="1">
        <v>40</v>
      </c>
      <c r="M2" s="1">
        <f>L2*Y2</f>
        <v>45.60000000000001</v>
      </c>
      <c r="N2" s="37"/>
      <c r="O2" s="37"/>
      <c r="P2" s="37" t="s">
        <v>26</v>
      </c>
      <c r="Q2" s="37"/>
      <c r="R2" s="37"/>
      <c r="S2" s="37"/>
      <c r="T2" s="37"/>
      <c r="U2" s="37"/>
      <c r="W2" s="1" t="s">
        <v>116</v>
      </c>
      <c r="X2" s="38">
        <f>B2+D2+F2+H2+J2+L2</f>
        <v>66.3</v>
      </c>
      <c r="Y2" s="38">
        <v>1.1400000000000001</v>
      </c>
      <c r="Z2" s="43">
        <f>X2*Y2</f>
        <v>75.58200000000001</v>
      </c>
      <c r="AB2" s="1">
        <v>4</v>
      </c>
      <c r="AD2" s="44" t="s">
        <v>28</v>
      </c>
      <c r="AE2" s="44">
        <f>SUM(Z2:Z994)</f>
        <v>2487.5389999999998</v>
      </c>
      <c r="AF2" s="44"/>
      <c r="AG2" s="44" t="s">
        <v>29</v>
      </c>
      <c r="AH2" s="58">
        <f>AE2/AE5</f>
        <v>80.24319354838708</v>
      </c>
      <c r="AJ2" s="44" t="s">
        <v>93</v>
      </c>
      <c r="AK2" s="44">
        <f>COUNTBLANK(L2:L40)-COUNTBLANK(A2:A40)</f>
        <v>15</v>
      </c>
      <c r="AL2" s="7"/>
      <c r="AM2" s="59" t="s">
        <v>313</v>
      </c>
      <c r="AN2" s="59">
        <f>SUMIF(AB2:AB44,"=5",Z2:Z44)</f>
        <v>345.94</v>
      </c>
      <c r="AO2" s="7"/>
      <c r="AP2" s="59" t="s">
        <v>299</v>
      </c>
      <c r="AQ2" s="59">
        <f>SUMIF(AB2:AB44,"=4",Z2:Z44)</f>
        <v>2141.5989999999997</v>
      </c>
    </row>
    <row r="3" spans="1:43" ht="12.75">
      <c r="A3" s="5">
        <v>42553</v>
      </c>
      <c r="B3" s="1">
        <f>6</f>
        <v>6</v>
      </c>
      <c r="C3" s="1">
        <f>B3*Y3</f>
        <v>6.840000000000001</v>
      </c>
      <c r="D3" s="1">
        <f>1+1.5</f>
        <v>2.5</v>
      </c>
      <c r="E3" s="1">
        <f>D3*Y3</f>
        <v>2.8500000000000005</v>
      </c>
      <c r="F3" s="1">
        <v>5</v>
      </c>
      <c r="G3" s="1">
        <f>F3*Y3</f>
        <v>5.700000000000001</v>
      </c>
      <c r="H3" s="1">
        <v>20</v>
      </c>
      <c r="I3" s="1">
        <f>H3*Y3</f>
        <v>22.800000000000004</v>
      </c>
      <c r="K3" s="1">
        <f>J3*Y3</f>
        <v>0</v>
      </c>
      <c r="L3" s="1">
        <v>40</v>
      </c>
      <c r="M3" s="1">
        <f>L3*Y3</f>
        <v>45.60000000000001</v>
      </c>
      <c r="N3" s="37"/>
      <c r="O3" s="37"/>
      <c r="P3" s="37" t="s">
        <v>26</v>
      </c>
      <c r="Q3" s="37"/>
      <c r="R3" s="37"/>
      <c r="S3" s="37"/>
      <c r="T3" s="37"/>
      <c r="U3" s="37"/>
      <c r="W3" s="1" t="s">
        <v>116</v>
      </c>
      <c r="X3" s="38">
        <f>B3+D3+F3+H3+J3+L3</f>
        <v>73.5</v>
      </c>
      <c r="Y3" s="38">
        <v>1.1400000000000001</v>
      </c>
      <c r="Z3" s="43">
        <f>X3*Y3</f>
        <v>83.79</v>
      </c>
      <c r="AB3" s="1">
        <v>4</v>
      </c>
      <c r="AD3" s="49"/>
      <c r="AE3" s="44"/>
      <c r="AF3" s="44"/>
      <c r="AG3" s="49"/>
      <c r="AH3" s="45"/>
      <c r="AJ3" s="44" t="s">
        <v>95</v>
      </c>
      <c r="AK3" s="44">
        <f>COUNT(L2:L36)</f>
        <v>16</v>
      </c>
      <c r="AM3" s="59" t="s">
        <v>314</v>
      </c>
      <c r="AN3" s="59">
        <f>_xlfn.COUNTIFS(A2:A44,"&lt;&gt;''",AB2:AB44,"=5")</f>
        <v>4</v>
      </c>
      <c r="AO3" s="7"/>
      <c r="AP3" s="59" t="s">
        <v>301</v>
      </c>
      <c r="AQ3" s="59">
        <f>_xlfn.COUNTIFS(A2:A44,"&lt;&gt;''",AB2:AB44,"=4")</f>
        <v>27</v>
      </c>
    </row>
    <row r="4" spans="1:43" ht="12.75">
      <c r="A4" s="5">
        <v>42554</v>
      </c>
      <c r="B4" s="1">
        <f>28+60</f>
        <v>88</v>
      </c>
      <c r="C4" s="1">
        <f>B4*Y4</f>
        <v>100.32000000000001</v>
      </c>
      <c r="D4" s="1">
        <v>9.9</v>
      </c>
      <c r="E4" s="1">
        <f>D4*Y4</f>
        <v>11.286000000000001</v>
      </c>
      <c r="F4" s="1">
        <v>5</v>
      </c>
      <c r="G4" s="1">
        <f>F4*Y4</f>
        <v>5.700000000000001</v>
      </c>
      <c r="I4" s="1">
        <f>H4*Y4</f>
        <v>0</v>
      </c>
      <c r="K4" s="1">
        <f>J4*Y4</f>
        <v>0</v>
      </c>
      <c r="L4" s="1">
        <v>35</v>
      </c>
      <c r="M4" s="1">
        <f>L4*Y4</f>
        <v>39.900000000000006</v>
      </c>
      <c r="N4" s="37"/>
      <c r="O4" s="37"/>
      <c r="P4" s="37" t="s">
        <v>26</v>
      </c>
      <c r="Q4" s="37"/>
      <c r="R4" s="37"/>
      <c r="S4" s="37"/>
      <c r="T4" s="37"/>
      <c r="U4" s="37"/>
      <c r="W4" s="1" t="s">
        <v>117</v>
      </c>
      <c r="X4" s="38">
        <f>B4+D4+F4+H4+J4+L4</f>
        <v>137.9</v>
      </c>
      <c r="Y4" s="38">
        <v>1.1400000000000001</v>
      </c>
      <c r="Z4" s="43">
        <f>X4*Y4</f>
        <v>157.20600000000002</v>
      </c>
      <c r="AB4" s="1">
        <v>4</v>
      </c>
      <c r="AD4" s="44"/>
      <c r="AE4" s="44"/>
      <c r="AF4" s="44"/>
      <c r="AG4" s="44"/>
      <c r="AH4" s="44"/>
      <c r="AJ4" s="44" t="s">
        <v>218</v>
      </c>
      <c r="AK4" s="44">
        <f>COUNTA(S2:S49)</f>
        <v>0</v>
      </c>
      <c r="AM4" s="59" t="s">
        <v>315</v>
      </c>
      <c r="AN4" s="59">
        <f>AN2/AN3</f>
        <v>86.485</v>
      </c>
      <c r="AO4" s="7"/>
      <c r="AP4" s="59" t="s">
        <v>302</v>
      </c>
      <c r="AQ4" s="59">
        <f>AQ2/AQ3</f>
        <v>79.31848148148147</v>
      </c>
    </row>
    <row r="5" spans="1:37" ht="12.75">
      <c r="A5" s="5">
        <v>42555</v>
      </c>
      <c r="C5" s="1">
        <f>B5*Y5</f>
        <v>0</v>
      </c>
      <c r="D5" s="1">
        <f>17.2</f>
        <v>17.2</v>
      </c>
      <c r="E5" s="1">
        <f>D5*Y5</f>
        <v>18.92</v>
      </c>
      <c r="F5" s="1">
        <v>5</v>
      </c>
      <c r="G5" s="1">
        <f>F5*Y5</f>
        <v>5.5</v>
      </c>
      <c r="I5" s="1">
        <f>H5*Y5</f>
        <v>0</v>
      </c>
      <c r="K5" s="1">
        <f>J5*Y5</f>
        <v>0</v>
      </c>
      <c r="M5" s="1">
        <f>L5*Y5</f>
        <v>0</v>
      </c>
      <c r="N5" s="37"/>
      <c r="O5" s="37"/>
      <c r="P5" s="37"/>
      <c r="Q5" s="37"/>
      <c r="R5" s="37"/>
      <c r="S5" s="37"/>
      <c r="T5" s="37"/>
      <c r="U5" s="37" t="s">
        <v>26</v>
      </c>
      <c r="W5" s="1" t="s">
        <v>118</v>
      </c>
      <c r="X5" s="38">
        <f>B5+D5+F5+H5+J5+L5</f>
        <v>22.2</v>
      </c>
      <c r="Y5" s="38">
        <v>1.1</v>
      </c>
      <c r="Z5" s="43">
        <f>X5*Y5</f>
        <v>24.42</v>
      </c>
      <c r="AB5" s="1">
        <v>4</v>
      </c>
      <c r="AD5" s="44" t="s">
        <v>42</v>
      </c>
      <c r="AE5" s="44">
        <f>COUNTA(A2:A349)</f>
        <v>31</v>
      </c>
      <c r="AF5" s="44"/>
      <c r="AG5" s="44"/>
      <c r="AH5" s="44"/>
      <c r="AJ5" s="44" t="s">
        <v>264</v>
      </c>
      <c r="AK5" s="44">
        <f>COUNTA(N2:N49)</f>
        <v>0</v>
      </c>
    </row>
    <row r="6" spans="1:37" ht="12.75">
      <c r="A6" s="5">
        <v>42556</v>
      </c>
      <c r="B6" s="1">
        <v>60</v>
      </c>
      <c r="C6" s="1">
        <f>B6*Y6</f>
        <v>66</v>
      </c>
      <c r="D6" s="1">
        <f>4+1.5+2+1+2.5+1</f>
        <v>12</v>
      </c>
      <c r="E6" s="1">
        <f>D6*Y6</f>
        <v>13.200000000000001</v>
      </c>
      <c r="G6" s="1">
        <f>F6*Y6</f>
        <v>0</v>
      </c>
      <c r="I6" s="1">
        <f>H6*Y6</f>
        <v>0</v>
      </c>
      <c r="K6" s="1">
        <f>J6*Y6</f>
        <v>0</v>
      </c>
      <c r="L6" s="1">
        <v>36</v>
      </c>
      <c r="M6" s="1">
        <f>L6*Y6</f>
        <v>39.6</v>
      </c>
      <c r="N6" s="37"/>
      <c r="O6" s="37"/>
      <c r="P6" s="37" t="s">
        <v>26</v>
      </c>
      <c r="Q6" s="37"/>
      <c r="R6" s="37"/>
      <c r="S6" s="37"/>
      <c r="T6" s="37"/>
      <c r="U6" s="37"/>
      <c r="W6" s="1" t="s">
        <v>119</v>
      </c>
      <c r="X6" s="38">
        <f>B6+D6+F6+H6+J6+L6</f>
        <v>108</v>
      </c>
      <c r="Y6" s="38">
        <v>1.1</v>
      </c>
      <c r="Z6" s="43">
        <f>X6*Y6</f>
        <v>118.80000000000001</v>
      </c>
      <c r="AB6" s="1">
        <v>4</v>
      </c>
      <c r="AD6" s="49"/>
      <c r="AE6" s="44"/>
      <c r="AF6" s="44"/>
      <c r="AG6" s="44"/>
      <c r="AH6" s="44"/>
      <c r="AJ6" s="44" t="s">
        <v>265</v>
      </c>
      <c r="AK6" s="44">
        <f>COUNTA(P2:P49)</f>
        <v>22</v>
      </c>
    </row>
    <row r="7" spans="1:37" ht="12.75">
      <c r="A7" s="5">
        <v>42557</v>
      </c>
      <c r="C7" s="1">
        <f>B7*Y7</f>
        <v>0</v>
      </c>
      <c r="D7" s="1">
        <f>1.4+3.5+2.5+2.4+1</f>
        <v>10.8</v>
      </c>
      <c r="E7" s="1">
        <f>D7*Y7</f>
        <v>11.880000000000003</v>
      </c>
      <c r="G7" s="1">
        <f>F7*Y7</f>
        <v>0</v>
      </c>
      <c r="H7" s="1">
        <v>40</v>
      </c>
      <c r="I7" s="1">
        <f>H7*Y7</f>
        <v>44</v>
      </c>
      <c r="K7" s="1">
        <f>J7*Y7</f>
        <v>0</v>
      </c>
      <c r="L7" s="1">
        <v>36</v>
      </c>
      <c r="M7" s="1">
        <f>L7*Y7</f>
        <v>39.6</v>
      </c>
      <c r="N7" s="37"/>
      <c r="O7" s="37"/>
      <c r="P7" s="37" t="s">
        <v>26</v>
      </c>
      <c r="Q7" s="37"/>
      <c r="R7" s="37"/>
      <c r="S7" s="37"/>
      <c r="T7" s="37"/>
      <c r="U7" s="37"/>
      <c r="W7" s="1" t="s">
        <v>119</v>
      </c>
      <c r="X7" s="38">
        <f>B7+D7+F7+H7+J7+L7</f>
        <v>86.8</v>
      </c>
      <c r="Y7" s="38">
        <v>1.1</v>
      </c>
      <c r="Z7" s="43">
        <f>X7*Y7</f>
        <v>95.48</v>
      </c>
      <c r="AB7" s="1">
        <v>4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COUNTA(Q2:Q49)</f>
        <v>0</v>
      </c>
    </row>
    <row r="8" spans="1:37" ht="12.75">
      <c r="A8" s="5">
        <v>42558</v>
      </c>
      <c r="B8" s="1">
        <v>60</v>
      </c>
      <c r="C8" s="1">
        <f>B8*Y8</f>
        <v>66</v>
      </c>
      <c r="D8" s="1">
        <f>1.5+1+2.5</f>
        <v>5</v>
      </c>
      <c r="E8" s="1">
        <f>D8*Y8</f>
        <v>5.5</v>
      </c>
      <c r="F8" s="1">
        <v>5</v>
      </c>
      <c r="G8" s="1">
        <f>F8*Y8</f>
        <v>5.5</v>
      </c>
      <c r="I8" s="1">
        <f>H8*Y8</f>
        <v>0</v>
      </c>
      <c r="K8" s="1">
        <f>J8*Y8</f>
        <v>0</v>
      </c>
      <c r="M8" s="1">
        <f>L8*Y8</f>
        <v>0</v>
      </c>
      <c r="N8" s="37"/>
      <c r="O8" s="37"/>
      <c r="P8" s="37"/>
      <c r="Q8" s="37"/>
      <c r="R8" s="37"/>
      <c r="S8" s="37"/>
      <c r="T8" s="37"/>
      <c r="U8" s="37" t="s">
        <v>26</v>
      </c>
      <c r="W8" s="1" t="s">
        <v>120</v>
      </c>
      <c r="X8" s="38">
        <f>B8+D8+F8+H8+J8+L8</f>
        <v>70</v>
      </c>
      <c r="Y8" s="38">
        <v>1.1</v>
      </c>
      <c r="Z8" s="43">
        <f>X8*Y8</f>
        <v>77</v>
      </c>
      <c r="AB8" s="1">
        <v>4</v>
      </c>
      <c r="AD8" s="44" t="s">
        <v>48</v>
      </c>
      <c r="AE8" s="54">
        <f>SUM(M2:M994)</f>
        <v>607.5000000000001</v>
      </c>
      <c r="AF8" s="44"/>
      <c r="AG8" s="44" t="s">
        <v>11</v>
      </c>
      <c r="AH8" s="54">
        <f>AE8/$AE$5</f>
        <v>19.59677419354839</v>
      </c>
      <c r="AJ8" s="44" t="s">
        <v>269</v>
      </c>
      <c r="AK8" s="44">
        <f>COUNTA(O2:O49)</f>
        <v>0</v>
      </c>
    </row>
    <row r="9" spans="1:37" ht="12.75">
      <c r="A9" s="5">
        <v>42559</v>
      </c>
      <c r="B9" s="1">
        <f>40+7+2+2+2+200</f>
        <v>253</v>
      </c>
      <c r="C9" s="1">
        <f>B9*Y9</f>
        <v>278.3</v>
      </c>
      <c r="D9" s="1">
        <f>7.5+10+6+2+7.5+1+2.5+4.7</f>
        <v>41.2</v>
      </c>
      <c r="E9" s="1">
        <f>D9*Y9</f>
        <v>45.32000000000001</v>
      </c>
      <c r="F9" s="1">
        <v>6</v>
      </c>
      <c r="G9" s="1">
        <f>F9*Y9</f>
        <v>6.6000000000000005</v>
      </c>
      <c r="I9" s="1">
        <f>H9*Y9</f>
        <v>0</v>
      </c>
      <c r="J9" s="1">
        <v>40</v>
      </c>
      <c r="K9" s="1">
        <f>J9*Y9</f>
        <v>44</v>
      </c>
      <c r="L9" s="1">
        <v>15</v>
      </c>
      <c r="M9" s="1">
        <f>L9*Y9</f>
        <v>16.5</v>
      </c>
      <c r="N9" s="37"/>
      <c r="O9" s="37"/>
      <c r="P9" s="37" t="s">
        <v>26</v>
      </c>
      <c r="Q9" s="37"/>
      <c r="R9" s="37"/>
      <c r="S9" s="37"/>
      <c r="T9" s="37"/>
      <c r="U9" s="37"/>
      <c r="W9" s="1" t="s">
        <v>121</v>
      </c>
      <c r="X9" s="38">
        <f>B9+D9+F9+H9+J9+L9</f>
        <v>355.2</v>
      </c>
      <c r="Y9" s="38">
        <v>1.1</v>
      </c>
      <c r="Z9" s="43">
        <f>X9*Y9</f>
        <v>390.72</v>
      </c>
      <c r="AB9" s="1">
        <v>4</v>
      </c>
      <c r="AD9" s="44" t="s">
        <v>50</v>
      </c>
      <c r="AE9" s="54">
        <f>SUM(C2:C994)</f>
        <v>1001.345</v>
      </c>
      <c r="AF9" s="44"/>
      <c r="AG9" s="44" t="s">
        <v>1</v>
      </c>
      <c r="AH9" s="44">
        <f>AE9/$AE$5</f>
        <v>32.30145161290323</v>
      </c>
      <c r="AJ9" s="44" t="s">
        <v>20</v>
      </c>
      <c r="AK9" s="44">
        <f>COUNTA(U3:U50)</f>
        <v>9</v>
      </c>
    </row>
    <row r="10" spans="1:34" ht="12.75">
      <c r="A10" s="5">
        <v>42560</v>
      </c>
      <c r="C10" s="1">
        <f>B10*Y10</f>
        <v>0</v>
      </c>
      <c r="D10" s="1">
        <f>2+3</f>
        <v>5</v>
      </c>
      <c r="E10" s="1">
        <f>D10*Y10</f>
        <v>5.5</v>
      </c>
      <c r="F10" s="1">
        <v>6</v>
      </c>
      <c r="G10" s="1">
        <f>F10*Y10</f>
        <v>6.6000000000000005</v>
      </c>
      <c r="I10" s="1">
        <f>H10*Y10</f>
        <v>0</v>
      </c>
      <c r="K10" s="1">
        <f>J10*Y10</f>
        <v>0</v>
      </c>
      <c r="M10" s="1">
        <f>L10*Y10</f>
        <v>0</v>
      </c>
      <c r="N10" s="37"/>
      <c r="O10" s="37"/>
      <c r="P10" s="37"/>
      <c r="Q10" s="37"/>
      <c r="R10" s="37"/>
      <c r="S10" s="37"/>
      <c r="T10" s="37"/>
      <c r="U10" s="37" t="s">
        <v>26</v>
      </c>
      <c r="W10" s="1" t="s">
        <v>122</v>
      </c>
      <c r="X10" s="38">
        <f>B10+D10+F10+H10+J10+L10</f>
        <v>11</v>
      </c>
      <c r="Y10" s="38">
        <v>1.1</v>
      </c>
      <c r="Z10" s="43">
        <f>X10*Y10</f>
        <v>12.100000000000001</v>
      </c>
      <c r="AB10" s="1">
        <v>4</v>
      </c>
      <c r="AD10" s="44" t="s">
        <v>51</v>
      </c>
      <c r="AE10" s="54">
        <f>SUM(E2:E994)</f>
        <v>430.9780000000001</v>
      </c>
      <c r="AF10" s="44"/>
      <c r="AG10" s="44" t="s">
        <v>52</v>
      </c>
      <c r="AH10" s="44">
        <f>AE10/$AE$5</f>
        <v>13.902516129032263</v>
      </c>
    </row>
    <row r="11" spans="1:34" ht="12.75">
      <c r="A11" s="5">
        <v>42561</v>
      </c>
      <c r="C11" s="1">
        <f>B11*Y11</f>
        <v>0</v>
      </c>
      <c r="E11" s="1">
        <f>D11*Y11</f>
        <v>0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/>
      <c r="O11" s="37"/>
      <c r="P11" s="37"/>
      <c r="Q11" s="37"/>
      <c r="R11" s="37"/>
      <c r="S11" s="37"/>
      <c r="T11" s="37"/>
      <c r="U11" s="37" t="s">
        <v>26</v>
      </c>
      <c r="W11" s="1" t="s">
        <v>123</v>
      </c>
      <c r="X11" s="38">
        <f>B11+D11+F11+H11+J11+L11</f>
        <v>0</v>
      </c>
      <c r="Y11" s="38">
        <v>1.1</v>
      </c>
      <c r="Z11" s="43">
        <f>X11*Y11</f>
        <v>0</v>
      </c>
      <c r="AB11" s="1">
        <v>4</v>
      </c>
      <c r="AD11" s="44" t="s">
        <v>54</v>
      </c>
      <c r="AE11" s="54">
        <f>SUM(G2:G994)</f>
        <v>171.03</v>
      </c>
      <c r="AF11" s="44"/>
      <c r="AG11" s="44" t="s">
        <v>55</v>
      </c>
      <c r="AH11" s="54">
        <f>AE11/$AE$5</f>
        <v>5.517096774193549</v>
      </c>
    </row>
    <row r="12" spans="1:34" ht="12.75">
      <c r="A12" s="5">
        <v>42562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/>
      <c r="P12" s="37"/>
      <c r="Q12" s="37"/>
      <c r="R12" s="37"/>
      <c r="S12" s="37"/>
      <c r="T12" s="37"/>
      <c r="U12" s="37" t="s">
        <v>26</v>
      </c>
      <c r="W12" s="1" t="s">
        <v>123</v>
      </c>
      <c r="X12" s="38">
        <f>B12+D12+F12+H12+J12+L12</f>
        <v>0</v>
      </c>
      <c r="Y12" s="38">
        <v>1.1</v>
      </c>
      <c r="Z12" s="43">
        <f>X12*Y12</f>
        <v>0</v>
      </c>
      <c r="AB12" s="1">
        <v>4</v>
      </c>
      <c r="AD12" s="44" t="s">
        <v>57</v>
      </c>
      <c r="AE12" s="54">
        <f>SUM(K2:K994)</f>
        <v>187.886</v>
      </c>
      <c r="AF12" s="44"/>
      <c r="AG12" s="44" t="s">
        <v>9</v>
      </c>
      <c r="AH12" s="54">
        <f>AE12/$AE$5</f>
        <v>6.0608387096774194</v>
      </c>
    </row>
    <row r="13" spans="1:34" ht="12.75">
      <c r="A13" s="5">
        <v>42563</v>
      </c>
      <c r="B13" s="1">
        <f>5</f>
        <v>5</v>
      </c>
      <c r="C13" s="1">
        <f>B13*Y13</f>
        <v>5.5</v>
      </c>
      <c r="D13" s="1">
        <f>15.5</f>
        <v>15.5</v>
      </c>
      <c r="E13" s="1">
        <f>D13*Y13</f>
        <v>17.05</v>
      </c>
      <c r="F13" s="1">
        <v>12.5</v>
      </c>
      <c r="G13" s="1">
        <f>F13*Y13</f>
        <v>13.750000000000002</v>
      </c>
      <c r="I13" s="1">
        <f>H13*Y13</f>
        <v>0</v>
      </c>
      <c r="K13" s="1">
        <f>J13*Y13</f>
        <v>0</v>
      </c>
      <c r="M13" s="1">
        <f>L13*Y13</f>
        <v>0</v>
      </c>
      <c r="N13" s="37"/>
      <c r="O13" s="37"/>
      <c r="P13" s="37" t="s">
        <v>26</v>
      </c>
      <c r="Q13" s="37"/>
      <c r="R13" s="37"/>
      <c r="S13" s="37"/>
      <c r="T13" s="37"/>
      <c r="U13" s="37"/>
      <c r="W13" s="1" t="s">
        <v>124</v>
      </c>
      <c r="X13" s="38">
        <f>B13+D13+F13+H13+J13+L13</f>
        <v>33</v>
      </c>
      <c r="Y13" s="38">
        <v>1.1</v>
      </c>
      <c r="Z13" s="43">
        <f>X13*Y13</f>
        <v>36.300000000000004</v>
      </c>
      <c r="AB13" s="1">
        <v>4</v>
      </c>
      <c r="AD13" s="44" t="s">
        <v>58</v>
      </c>
      <c r="AE13" s="44">
        <f>SUM(I2:I994)</f>
        <v>88.80000000000001</v>
      </c>
      <c r="AF13" s="44"/>
      <c r="AG13" s="44" t="s">
        <v>7</v>
      </c>
      <c r="AH13" s="54">
        <f>AE13/$AE$5</f>
        <v>2.8645161290322583</v>
      </c>
    </row>
    <row r="14" spans="1:28" ht="12.75">
      <c r="A14" s="5">
        <v>42564</v>
      </c>
      <c r="B14" s="1">
        <f>2+3+3+2</f>
        <v>10</v>
      </c>
      <c r="C14" s="1">
        <f>B14*Y14</f>
        <v>11</v>
      </c>
      <c r="D14" s="1">
        <f>3.5+3+3</f>
        <v>9.5</v>
      </c>
      <c r="E14" s="1">
        <f>D14*Y14</f>
        <v>10.450000000000001</v>
      </c>
      <c r="F14" s="1">
        <f>13.5</f>
        <v>13.5</v>
      </c>
      <c r="G14" s="1">
        <f>F14*Y14</f>
        <v>14.850000000000001</v>
      </c>
      <c r="H14" s="1">
        <v>20</v>
      </c>
      <c r="I14" s="1">
        <f>H14*Y14</f>
        <v>22</v>
      </c>
      <c r="K14" s="1">
        <f>J14*Y14</f>
        <v>0</v>
      </c>
      <c r="M14" s="1">
        <f>L14*Y14</f>
        <v>0</v>
      </c>
      <c r="N14" s="37"/>
      <c r="O14" s="37"/>
      <c r="P14" s="37" t="s">
        <v>26</v>
      </c>
      <c r="Q14" s="37"/>
      <c r="R14" s="37"/>
      <c r="S14" s="37"/>
      <c r="T14" s="37"/>
      <c r="U14" s="37"/>
      <c r="W14" s="1" t="s">
        <v>124</v>
      </c>
      <c r="X14" s="38">
        <f>B14+D14+F14+H14+J14+L14</f>
        <v>53</v>
      </c>
      <c r="Y14" s="38">
        <v>1.1</v>
      </c>
      <c r="Z14" s="43">
        <f>X14*Y14</f>
        <v>58.300000000000004</v>
      </c>
      <c r="AB14" s="1">
        <v>4</v>
      </c>
    </row>
    <row r="15" spans="1:31" ht="12.75">
      <c r="A15" s="5">
        <v>42565</v>
      </c>
      <c r="C15" s="1">
        <f>B15*Y15</f>
        <v>0</v>
      </c>
      <c r="D15" s="1">
        <f>23.5</f>
        <v>23.5</v>
      </c>
      <c r="E15" s="1">
        <f>D15*Y15</f>
        <v>25.85</v>
      </c>
      <c r="F15" s="1">
        <v>10</v>
      </c>
      <c r="G15" s="1">
        <f>F15*Y15</f>
        <v>11</v>
      </c>
      <c r="I15" s="1">
        <f>H15*Y15</f>
        <v>0</v>
      </c>
      <c r="J15" s="1">
        <v>8</v>
      </c>
      <c r="K15" s="1">
        <f>J15*Y15</f>
        <v>8.8</v>
      </c>
      <c r="M15" s="1">
        <f>L15*Y15</f>
        <v>0</v>
      </c>
      <c r="N15" s="37"/>
      <c r="O15" s="37"/>
      <c r="P15" s="37" t="s">
        <v>26</v>
      </c>
      <c r="Q15" s="37"/>
      <c r="R15" s="37"/>
      <c r="S15" s="37"/>
      <c r="T15" s="37"/>
      <c r="U15" s="37"/>
      <c r="W15" s="1" t="s">
        <v>124</v>
      </c>
      <c r="X15" s="38">
        <f>B15+D15+F15+H15+J15+L15</f>
        <v>41.5</v>
      </c>
      <c r="Y15" s="38">
        <v>1.1</v>
      </c>
      <c r="Z15" s="43">
        <f>X15*Y15</f>
        <v>45.650000000000006</v>
      </c>
      <c r="AB15" s="1">
        <v>4</v>
      </c>
      <c r="AD15" s="8"/>
      <c r="AE15" s="8"/>
    </row>
    <row r="16" spans="1:30" ht="12.75">
      <c r="A16" s="5">
        <v>42566</v>
      </c>
      <c r="C16" s="1">
        <f>B16*Y16</f>
        <v>0</v>
      </c>
      <c r="E16" s="1">
        <f>D16*Y16</f>
        <v>0</v>
      </c>
      <c r="G16" s="1">
        <f>F16*Y16</f>
        <v>0</v>
      </c>
      <c r="I16" s="1">
        <f>H16*Y16</f>
        <v>0</v>
      </c>
      <c r="J16" s="1">
        <v>5</v>
      </c>
      <c r="K16" s="1">
        <f>J16*Y16</f>
        <v>5.5</v>
      </c>
      <c r="M16" s="1">
        <f>L16*Y16</f>
        <v>0</v>
      </c>
      <c r="N16" s="37"/>
      <c r="O16" s="37"/>
      <c r="P16" s="37" t="s">
        <v>26</v>
      </c>
      <c r="Q16" s="37"/>
      <c r="R16" s="37"/>
      <c r="S16" s="37"/>
      <c r="T16" s="37"/>
      <c r="U16" s="37"/>
      <c r="W16" s="1" t="s">
        <v>125</v>
      </c>
      <c r="X16" s="38">
        <f>B16+D16+F16+H16+J16+L16</f>
        <v>5</v>
      </c>
      <c r="Y16" s="38">
        <v>1.1</v>
      </c>
      <c r="Z16" s="43">
        <f>X16*Y16</f>
        <v>5.5</v>
      </c>
      <c r="AB16" s="1">
        <v>4</v>
      </c>
      <c r="AD16" s="8"/>
    </row>
    <row r="17" spans="1:28" ht="12.75">
      <c r="A17" s="5">
        <v>42567</v>
      </c>
      <c r="B17" s="1">
        <v>3</v>
      </c>
      <c r="C17" s="1">
        <f>B17*Y17</f>
        <v>3.3000000000000003</v>
      </c>
      <c r="D17" s="1">
        <f>4.2</f>
        <v>4.2</v>
      </c>
      <c r="E17" s="1">
        <f>D17*Y17</f>
        <v>4.620000000000001</v>
      </c>
      <c r="F17" s="1">
        <v>5</v>
      </c>
      <c r="G17" s="1">
        <f>F17*Y17</f>
        <v>5.5</v>
      </c>
      <c r="I17" s="1">
        <f>H17*Y17</f>
        <v>0</v>
      </c>
      <c r="J17" s="1">
        <f>5.8+5.5</f>
        <v>11.3</v>
      </c>
      <c r="K17" s="1">
        <f>J17*Y17</f>
        <v>12.430000000000001</v>
      </c>
      <c r="L17" s="1">
        <v>40</v>
      </c>
      <c r="M17" s="1">
        <f>L17*Y17</f>
        <v>44</v>
      </c>
      <c r="N17" s="37"/>
      <c r="O17" s="37"/>
      <c r="P17" s="37" t="s">
        <v>26</v>
      </c>
      <c r="Q17" s="37"/>
      <c r="R17" s="37"/>
      <c r="S17" s="37"/>
      <c r="T17" s="37"/>
      <c r="U17" s="37"/>
      <c r="W17" s="1" t="s">
        <v>124</v>
      </c>
      <c r="X17" s="38">
        <f>B17+D17+F17+H17+J17+L17</f>
        <v>63.5</v>
      </c>
      <c r="Y17" s="38">
        <v>1.1</v>
      </c>
      <c r="Z17" s="43">
        <f>X17*Y17</f>
        <v>69.85000000000001</v>
      </c>
      <c r="AB17" s="1">
        <v>4</v>
      </c>
    </row>
    <row r="18" spans="1:28" ht="12.75">
      <c r="A18" s="5">
        <v>42568</v>
      </c>
      <c r="C18" s="1">
        <f>B18*Y18</f>
        <v>0</v>
      </c>
      <c r="D18" s="1">
        <f>7.5+8.2</f>
        <v>15.7</v>
      </c>
      <c r="E18" s="1">
        <f>D18*Y18</f>
        <v>17.27</v>
      </c>
      <c r="F18" s="1">
        <v>9</v>
      </c>
      <c r="G18" s="1">
        <f>F18*Y18</f>
        <v>9.9</v>
      </c>
      <c r="I18" s="1">
        <f>H18*Y18</f>
        <v>0</v>
      </c>
      <c r="K18" s="1">
        <f>J18*Y18</f>
        <v>0</v>
      </c>
      <c r="L18" s="1">
        <v>40</v>
      </c>
      <c r="M18" s="1">
        <f>L18*Y18</f>
        <v>44</v>
      </c>
      <c r="N18" s="37"/>
      <c r="O18" s="37"/>
      <c r="P18" s="37" t="s">
        <v>26</v>
      </c>
      <c r="Q18" s="37"/>
      <c r="R18" s="37"/>
      <c r="S18" s="37"/>
      <c r="T18" s="37"/>
      <c r="U18" s="37"/>
      <c r="W18" s="1" t="s">
        <v>124</v>
      </c>
      <c r="X18" s="38">
        <f>B18+D18+F18+H18+J18+L18</f>
        <v>64.7</v>
      </c>
      <c r="Y18" s="38">
        <v>1.1</v>
      </c>
      <c r="Z18" s="43">
        <f>X18*Y18</f>
        <v>71.17000000000002</v>
      </c>
      <c r="AB18" s="1">
        <v>4</v>
      </c>
    </row>
    <row r="19" spans="1:28" ht="12.75">
      <c r="A19" s="5">
        <v>42569</v>
      </c>
      <c r="C19" s="1">
        <f>B19*Y19</f>
        <v>0</v>
      </c>
      <c r="E19" s="1">
        <f>D19*Y19</f>
        <v>0</v>
      </c>
      <c r="G19" s="1">
        <f>F19*Y19</f>
        <v>0</v>
      </c>
      <c r="I19" s="1">
        <f>H19*Y19</f>
        <v>0</v>
      </c>
      <c r="J19" s="1">
        <v>100</v>
      </c>
      <c r="K19" s="1">
        <f>J19*Y19</f>
        <v>110.00000000000001</v>
      </c>
      <c r="M19" s="1">
        <f>L19*Y19</f>
        <v>0</v>
      </c>
      <c r="N19" s="37"/>
      <c r="O19" s="37"/>
      <c r="P19" s="37" t="s">
        <v>26</v>
      </c>
      <c r="Q19" s="37"/>
      <c r="R19" s="37"/>
      <c r="S19" s="37"/>
      <c r="T19" s="37"/>
      <c r="U19" s="37"/>
      <c r="W19" s="1" t="s">
        <v>125</v>
      </c>
      <c r="X19" s="38">
        <f>B19+D19+F19+H19+J19+L19</f>
        <v>100</v>
      </c>
      <c r="Y19" s="38">
        <v>1.1</v>
      </c>
      <c r="Z19" s="43">
        <f>X19*Y19</f>
        <v>110.00000000000001</v>
      </c>
      <c r="AB19" s="1">
        <v>4</v>
      </c>
    </row>
    <row r="20" spans="1:28" ht="12.75">
      <c r="A20" s="5">
        <v>42570</v>
      </c>
      <c r="C20" s="1">
        <f>B20*Y20</f>
        <v>0</v>
      </c>
      <c r="E20" s="1">
        <f>D20*Y20</f>
        <v>0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 t="s">
        <v>26</v>
      </c>
      <c r="Q20" s="37"/>
      <c r="R20" s="37"/>
      <c r="S20" s="37"/>
      <c r="T20" s="37"/>
      <c r="U20" s="37"/>
      <c r="W20" s="1" t="s">
        <v>125</v>
      </c>
      <c r="X20" s="38">
        <f>B20+D20+F20+H20+J20+L20</f>
        <v>0</v>
      </c>
      <c r="Y20" s="38">
        <v>1.07</v>
      </c>
      <c r="Z20" s="43">
        <f>X20*Y20</f>
        <v>0</v>
      </c>
      <c r="AB20" s="1">
        <v>4</v>
      </c>
    </row>
    <row r="21" spans="1:28" ht="12.75">
      <c r="A21" s="5">
        <v>42571</v>
      </c>
      <c r="C21" s="1">
        <f>B21*Y21</f>
        <v>0</v>
      </c>
      <c r="D21" s="1">
        <v>8</v>
      </c>
      <c r="E21" s="1">
        <f>D21*Y21</f>
        <v>8.56</v>
      </c>
      <c r="G21" s="1">
        <f>F21*Y21</f>
        <v>0</v>
      </c>
      <c r="I21" s="1">
        <f>H21*Y21</f>
        <v>0</v>
      </c>
      <c r="K21" s="1">
        <f>J21*Y21</f>
        <v>0</v>
      </c>
      <c r="L21" s="1">
        <v>40</v>
      </c>
      <c r="M21" s="1">
        <f>L21*Y21</f>
        <v>42.800000000000004</v>
      </c>
      <c r="N21" s="37"/>
      <c r="O21" s="37"/>
      <c r="P21" s="37" t="s">
        <v>26</v>
      </c>
      <c r="Q21" s="37"/>
      <c r="R21" s="37"/>
      <c r="S21" s="37"/>
      <c r="T21" s="37"/>
      <c r="U21" s="37"/>
      <c r="W21" s="1" t="s">
        <v>124</v>
      </c>
      <c r="X21" s="38">
        <f>B21+D21+F21+H21+J21+L21</f>
        <v>48</v>
      </c>
      <c r="Y21" s="38">
        <v>1.07</v>
      </c>
      <c r="Z21" s="43">
        <f>X21*Y21</f>
        <v>51.36</v>
      </c>
      <c r="AB21" s="1">
        <v>4</v>
      </c>
    </row>
    <row r="22" spans="1:28" ht="12.75">
      <c r="A22" s="5">
        <v>42572</v>
      </c>
      <c r="B22" s="1">
        <f>200+4+3.5</f>
        <v>207.5</v>
      </c>
      <c r="C22" s="1">
        <f>B22*Y22</f>
        <v>222.025</v>
      </c>
      <c r="D22" s="1">
        <f>21.8+16.8+6</f>
        <v>44.6</v>
      </c>
      <c r="E22" s="1">
        <f>D22*Y22</f>
        <v>47.722</v>
      </c>
      <c r="F22" s="1">
        <f>12+2</f>
        <v>14</v>
      </c>
      <c r="G22" s="1">
        <f>F22*Y22</f>
        <v>14.98</v>
      </c>
      <c r="I22" s="1">
        <f>H22*Y22</f>
        <v>0</v>
      </c>
      <c r="J22" s="1">
        <v>2</v>
      </c>
      <c r="K22" s="1">
        <f>J22*Y22</f>
        <v>2.14</v>
      </c>
      <c r="M22" s="1">
        <f>L22*Y22</f>
        <v>0</v>
      </c>
      <c r="N22" s="37"/>
      <c r="O22" s="37"/>
      <c r="P22" s="37"/>
      <c r="Q22" s="37"/>
      <c r="R22" s="37"/>
      <c r="S22" s="37"/>
      <c r="T22" s="37"/>
      <c r="U22" s="37" t="s">
        <v>26</v>
      </c>
      <c r="W22" s="1" t="s">
        <v>123</v>
      </c>
      <c r="X22" s="38">
        <f>B22+D22+F22+H22+J22+L22</f>
        <v>268.1</v>
      </c>
      <c r="Y22" s="38">
        <v>1.07</v>
      </c>
      <c r="Z22" s="43">
        <f>X22*Y22</f>
        <v>286.867</v>
      </c>
      <c r="AB22" s="1">
        <v>4</v>
      </c>
    </row>
    <row r="23" spans="1:28" ht="12.75">
      <c r="A23" s="5">
        <v>42573</v>
      </c>
      <c r="C23" s="1">
        <f>B23*Y23</f>
        <v>0</v>
      </c>
      <c r="E23" s="1">
        <f>D23*Y23</f>
        <v>0</v>
      </c>
      <c r="G23" s="1">
        <f>F23*Y23</f>
        <v>0</v>
      </c>
      <c r="I23" s="1">
        <f>H23*Y23</f>
        <v>0</v>
      </c>
      <c r="K23" s="1">
        <f>J23*Y23</f>
        <v>0</v>
      </c>
      <c r="M23" s="1">
        <f>L23*Y23</f>
        <v>0</v>
      </c>
      <c r="N23" s="37"/>
      <c r="O23" s="37"/>
      <c r="P23" s="37"/>
      <c r="Q23" s="37"/>
      <c r="R23" s="37"/>
      <c r="S23" s="37"/>
      <c r="T23" s="37"/>
      <c r="U23" s="37" t="s">
        <v>26</v>
      </c>
      <c r="W23" s="1" t="s">
        <v>123</v>
      </c>
      <c r="X23" s="38">
        <f>B23+D23+F23+H23+J23+L23</f>
        <v>0</v>
      </c>
      <c r="Y23" s="38">
        <v>1.07</v>
      </c>
      <c r="Z23" s="43">
        <f>X23*Y23</f>
        <v>0</v>
      </c>
      <c r="AB23" s="1">
        <v>4</v>
      </c>
    </row>
    <row r="24" spans="1:28" ht="12.75">
      <c r="A24" s="5">
        <v>42574</v>
      </c>
      <c r="C24" s="1">
        <f>B24*Y24</f>
        <v>0</v>
      </c>
      <c r="E24" s="1">
        <f>D24*Y24</f>
        <v>0</v>
      </c>
      <c r="F24" s="1">
        <v>1</v>
      </c>
      <c r="G24" s="1">
        <f>F24*Y24</f>
        <v>1.07</v>
      </c>
      <c r="I24" s="1">
        <f>H24*Y24</f>
        <v>0</v>
      </c>
      <c r="K24" s="1">
        <f>J24*Y24</f>
        <v>0</v>
      </c>
      <c r="M24" s="1">
        <f>L24*Y24</f>
        <v>0</v>
      </c>
      <c r="N24" s="37"/>
      <c r="O24" s="37"/>
      <c r="P24" s="37"/>
      <c r="Q24" s="37"/>
      <c r="R24" s="37"/>
      <c r="S24" s="37"/>
      <c r="T24" s="37"/>
      <c r="U24" s="37" t="s">
        <v>26</v>
      </c>
      <c r="W24" s="1" t="s">
        <v>123</v>
      </c>
      <c r="X24" s="38">
        <f>B24+D24+F24+H24+J24+L24</f>
        <v>1</v>
      </c>
      <c r="Y24" s="38">
        <v>1.07</v>
      </c>
      <c r="Z24" s="43">
        <f>X24*Y24</f>
        <v>1.07</v>
      </c>
      <c r="AB24" s="1">
        <v>4</v>
      </c>
    </row>
    <row r="25" spans="1:28" ht="12.75">
      <c r="A25" s="5">
        <v>42575</v>
      </c>
      <c r="B25" s="1">
        <f>20+3+2</f>
        <v>25</v>
      </c>
      <c r="C25" s="1">
        <f>B25*Y25</f>
        <v>26.75</v>
      </c>
      <c r="D25" s="1">
        <v>16.6</v>
      </c>
      <c r="E25" s="1">
        <f>D25*Y25</f>
        <v>17.762000000000004</v>
      </c>
      <c r="F25" s="1">
        <v>12</v>
      </c>
      <c r="G25" s="1">
        <f>F25*Y25</f>
        <v>12.84</v>
      </c>
      <c r="I25" s="1">
        <f>H25*Y25</f>
        <v>0</v>
      </c>
      <c r="K25" s="1">
        <f>J25*Y25</f>
        <v>0</v>
      </c>
      <c r="L25" s="1">
        <v>35</v>
      </c>
      <c r="M25" s="1">
        <f>L25*Y25</f>
        <v>37.45</v>
      </c>
      <c r="N25" s="37"/>
      <c r="O25" s="37"/>
      <c r="P25" s="37" t="s">
        <v>26</v>
      </c>
      <c r="Q25" s="37"/>
      <c r="R25" s="37"/>
      <c r="S25" s="37"/>
      <c r="T25" s="37"/>
      <c r="U25" s="37"/>
      <c r="W25" s="1" t="s">
        <v>126</v>
      </c>
      <c r="X25" s="38">
        <f>B25+D25+F25+H25+J25+L25</f>
        <v>88.6</v>
      </c>
      <c r="Y25" s="38">
        <v>1.07</v>
      </c>
      <c r="Z25" s="43">
        <f>X25*Y25</f>
        <v>94.80199999999999</v>
      </c>
      <c r="AB25" s="1">
        <v>4</v>
      </c>
    </row>
    <row r="26" spans="1:28" ht="12.75">
      <c r="A26" s="5">
        <v>42576</v>
      </c>
      <c r="B26" s="1">
        <v>80</v>
      </c>
      <c r="C26" s="1">
        <f>B26*Y26</f>
        <v>85.60000000000001</v>
      </c>
      <c r="D26" s="1">
        <f>6.1+32</f>
        <v>38.1</v>
      </c>
      <c r="E26" s="1">
        <f>D26*Y26</f>
        <v>40.767</v>
      </c>
      <c r="F26" s="1">
        <v>12</v>
      </c>
      <c r="G26" s="1">
        <f>F26*Y26</f>
        <v>12.84</v>
      </c>
      <c r="I26" s="1">
        <f>H26*Y26</f>
        <v>0</v>
      </c>
      <c r="K26" s="1">
        <f>J26*Y26</f>
        <v>0</v>
      </c>
      <c r="L26" s="1">
        <v>35</v>
      </c>
      <c r="M26" s="1">
        <f>L26*Y26</f>
        <v>37.45</v>
      </c>
      <c r="N26" s="37"/>
      <c r="O26" s="37"/>
      <c r="P26" s="37" t="s">
        <v>26</v>
      </c>
      <c r="Q26" s="37"/>
      <c r="R26" s="37"/>
      <c r="S26" s="37"/>
      <c r="T26" s="37"/>
      <c r="U26" s="37"/>
      <c r="W26" s="1" t="s">
        <v>127</v>
      </c>
      <c r="X26" s="38">
        <f>B26+D26+F26+H26+J26+L26</f>
        <v>165.1</v>
      </c>
      <c r="Y26" s="38">
        <v>1.07</v>
      </c>
      <c r="Z26" s="43">
        <f>X26*Y26</f>
        <v>176.657</v>
      </c>
      <c r="AB26" s="1">
        <v>4</v>
      </c>
    </row>
    <row r="27" spans="1:28" ht="12.75">
      <c r="A27" s="5">
        <v>42577</v>
      </c>
      <c r="B27" s="1">
        <v>3</v>
      </c>
      <c r="C27" s="1">
        <f>B27*Y27</f>
        <v>3.21</v>
      </c>
      <c r="D27" s="1">
        <v>11.5</v>
      </c>
      <c r="E27" s="1">
        <f>D27*Y27</f>
        <v>12.305000000000001</v>
      </c>
      <c r="F27" s="1">
        <v>10</v>
      </c>
      <c r="G27" s="1">
        <f>F27*Y27</f>
        <v>10.700000000000001</v>
      </c>
      <c r="I27" s="1">
        <f>H27*Y27</f>
        <v>0</v>
      </c>
      <c r="K27" s="1">
        <f>J27*Y27</f>
        <v>0</v>
      </c>
      <c r="M27" s="1">
        <f>L27*Y27</f>
        <v>0</v>
      </c>
      <c r="N27" s="37"/>
      <c r="O27" s="37"/>
      <c r="P27" s="37"/>
      <c r="Q27" s="37"/>
      <c r="R27" s="37"/>
      <c r="S27" s="37"/>
      <c r="T27" s="37"/>
      <c r="U27" s="37" t="s">
        <v>26</v>
      </c>
      <c r="W27" s="1" t="s">
        <v>128</v>
      </c>
      <c r="X27" s="38">
        <f>B27+D27+F27+H27+J27+L27</f>
        <v>24.5</v>
      </c>
      <c r="Y27" s="38">
        <v>1.07</v>
      </c>
      <c r="Z27" s="43">
        <f>X27*Y27</f>
        <v>26.215</v>
      </c>
      <c r="AB27" s="1">
        <v>4</v>
      </c>
    </row>
    <row r="28" spans="1:28" ht="12.75">
      <c r="A28" s="5">
        <v>42578</v>
      </c>
      <c r="B28" s="1">
        <f>3+12+12+3+15+15</f>
        <v>60</v>
      </c>
      <c r="C28" s="1">
        <f>B28*Y28</f>
        <v>64.2</v>
      </c>
      <c r="D28" s="1">
        <f>6+2</f>
        <v>8</v>
      </c>
      <c r="E28" s="1">
        <f>D28*Y28</f>
        <v>8.56</v>
      </c>
      <c r="G28" s="1">
        <f>F28*Y28</f>
        <v>0</v>
      </c>
      <c r="I28" s="1">
        <f>H28*Y28</f>
        <v>0</v>
      </c>
      <c r="K28" s="1">
        <f>J28*Y28</f>
        <v>0</v>
      </c>
      <c r="M28" s="1">
        <f>L28*Y28</f>
        <v>0</v>
      </c>
      <c r="N28" s="37"/>
      <c r="O28" s="37"/>
      <c r="P28" s="37"/>
      <c r="Q28" s="37"/>
      <c r="R28" s="37"/>
      <c r="S28" s="37"/>
      <c r="T28" s="37"/>
      <c r="U28" s="37"/>
      <c r="W28" s="1" t="s">
        <v>129</v>
      </c>
      <c r="X28" s="38">
        <f>B28+D28+F28+H28+J28+L28</f>
        <v>68</v>
      </c>
      <c r="Y28" s="38">
        <v>1.07</v>
      </c>
      <c r="Z28" s="43">
        <f>X28*Y28</f>
        <v>72.76</v>
      </c>
      <c r="AB28" s="1">
        <v>4</v>
      </c>
    </row>
    <row r="29" spans="1:28" ht="12.75">
      <c r="A29" s="5"/>
      <c r="B29" s="1">
        <f>2.25+2.25+6+6</f>
        <v>16.5</v>
      </c>
      <c r="C29" s="1">
        <f>B29*Y29</f>
        <v>57.75</v>
      </c>
      <c r="D29" s="1">
        <v>4</v>
      </c>
      <c r="E29" s="1">
        <f>D29*Y29</f>
        <v>14</v>
      </c>
      <c r="G29" s="1">
        <f>F29*Y29</f>
        <v>0</v>
      </c>
      <c r="I29" s="1">
        <f>H29*Y29</f>
        <v>0</v>
      </c>
      <c r="K29" s="1">
        <f>J29*Y29</f>
        <v>0</v>
      </c>
      <c r="L29" s="1">
        <v>10</v>
      </c>
      <c r="M29" s="1">
        <f>L29*Y29</f>
        <v>35</v>
      </c>
      <c r="N29" s="37"/>
      <c r="O29" s="37"/>
      <c r="P29" s="37" t="s">
        <v>26</v>
      </c>
      <c r="Q29" s="37"/>
      <c r="R29" s="37"/>
      <c r="S29" s="37"/>
      <c r="T29" s="37"/>
      <c r="U29" s="37"/>
      <c r="W29" s="1" t="s">
        <v>132</v>
      </c>
      <c r="X29" s="38">
        <f>B29+D29+F29+H29+J29+L29</f>
        <v>30.5</v>
      </c>
      <c r="Y29" s="38">
        <v>3.5</v>
      </c>
      <c r="Z29" s="43">
        <f>X29*Y29</f>
        <v>106.75</v>
      </c>
      <c r="AB29" s="1">
        <v>5</v>
      </c>
    </row>
    <row r="30" spans="1:28" ht="12.75">
      <c r="A30" s="5">
        <v>42579</v>
      </c>
      <c r="C30" s="1">
        <f>B30*Y30</f>
        <v>0</v>
      </c>
      <c r="D30" s="1">
        <f>5+0.8</f>
        <v>5.8</v>
      </c>
      <c r="E30" s="1">
        <f>D30*Y30</f>
        <v>20.3</v>
      </c>
      <c r="F30" s="1">
        <v>3.5</v>
      </c>
      <c r="G30" s="1">
        <f>F30*Y30</f>
        <v>12.25</v>
      </c>
      <c r="I30" s="1">
        <f>H30*Y30</f>
        <v>0</v>
      </c>
      <c r="K30" s="1">
        <f>J30*Y30</f>
        <v>0</v>
      </c>
      <c r="L30" s="1">
        <v>10</v>
      </c>
      <c r="M30" s="1">
        <f>L30*Y30</f>
        <v>35</v>
      </c>
      <c r="N30" s="37"/>
      <c r="O30" s="37"/>
      <c r="P30" s="37" t="s">
        <v>26</v>
      </c>
      <c r="Q30" s="37"/>
      <c r="R30" s="37"/>
      <c r="S30" s="37"/>
      <c r="T30" s="37"/>
      <c r="U30" s="37"/>
      <c r="W30" s="1" t="s">
        <v>133</v>
      </c>
      <c r="X30" s="38">
        <f>B30+D30+F30+H30+J30+L30</f>
        <v>19.3</v>
      </c>
      <c r="Y30" s="38">
        <v>3.5</v>
      </c>
      <c r="Z30" s="43">
        <f>X30*Y30</f>
        <v>67.55</v>
      </c>
      <c r="AB30" s="1">
        <v>5</v>
      </c>
    </row>
    <row r="31" spans="1:28" ht="12.75">
      <c r="A31" s="5">
        <v>42580</v>
      </c>
      <c r="B31" s="1">
        <f>1.3</f>
        <v>1.3</v>
      </c>
      <c r="C31" s="1">
        <f>B31*Y31</f>
        <v>4.55</v>
      </c>
      <c r="D31" s="1">
        <f>4.8+2.3</f>
        <v>7.1</v>
      </c>
      <c r="E31" s="1">
        <f>D31*Y31</f>
        <v>24.849999999999998</v>
      </c>
      <c r="G31" s="1">
        <f>F31*Y31</f>
        <v>0</v>
      </c>
      <c r="I31" s="1">
        <f>H31*Y31</f>
        <v>0</v>
      </c>
      <c r="K31" s="1">
        <f>J31*Y31</f>
        <v>0</v>
      </c>
      <c r="L31" s="1">
        <v>10</v>
      </c>
      <c r="M31" s="1">
        <f>L31*Y31</f>
        <v>35</v>
      </c>
      <c r="N31" s="37"/>
      <c r="O31" s="37"/>
      <c r="P31" s="37" t="s">
        <v>26</v>
      </c>
      <c r="Q31" s="37"/>
      <c r="R31" s="37"/>
      <c r="S31" s="37"/>
      <c r="T31" s="37"/>
      <c r="U31" s="37"/>
      <c r="W31" s="1" t="s">
        <v>133</v>
      </c>
      <c r="X31" s="38">
        <f>B31+D31+F31+H31+J31+L31</f>
        <v>18.4</v>
      </c>
      <c r="Y31" s="38">
        <v>3.5</v>
      </c>
      <c r="Z31" s="43">
        <f>X31*Y31</f>
        <v>64.39999999999999</v>
      </c>
      <c r="AB31" s="1">
        <v>5</v>
      </c>
    </row>
    <row r="32" spans="1:28" ht="12.75">
      <c r="A32" s="5">
        <v>42581</v>
      </c>
      <c r="C32" s="1">
        <f>B32*Y32</f>
        <v>0</v>
      </c>
      <c r="D32" s="1">
        <f>2.44+1.7</f>
        <v>4.140000000000001</v>
      </c>
      <c r="E32" s="1">
        <f>D32*Y32</f>
        <v>14.490000000000002</v>
      </c>
      <c r="G32" s="1">
        <f>F32*Y32</f>
        <v>0</v>
      </c>
      <c r="I32" s="1">
        <f>H32*Y32</f>
        <v>0</v>
      </c>
      <c r="K32" s="1">
        <f>J32*Y32</f>
        <v>0</v>
      </c>
      <c r="L32" s="1">
        <v>10</v>
      </c>
      <c r="M32" s="1">
        <f>L32*Y32</f>
        <v>35</v>
      </c>
      <c r="N32" s="37"/>
      <c r="O32" s="37"/>
      <c r="P32" s="37" t="s">
        <v>26</v>
      </c>
      <c r="Q32" s="37"/>
      <c r="R32" s="37"/>
      <c r="S32" s="37"/>
      <c r="T32" s="37"/>
      <c r="U32" s="37"/>
      <c r="W32" s="1" t="s">
        <v>133</v>
      </c>
      <c r="X32" s="38">
        <f>B32+D32+F32+H32+J32+L32</f>
        <v>14.14</v>
      </c>
      <c r="Y32" s="38">
        <v>3.5</v>
      </c>
      <c r="Z32" s="43">
        <f>X32*Y32</f>
        <v>49.49</v>
      </c>
      <c r="AB32" s="1">
        <v>5</v>
      </c>
    </row>
    <row r="33" spans="1:28" ht="12.75">
      <c r="A33" s="3">
        <v>42582</v>
      </c>
      <c r="C33" s="1">
        <f>B33*Y33</f>
        <v>0</v>
      </c>
      <c r="D33" s="1">
        <f>2</f>
        <v>2</v>
      </c>
      <c r="E33" s="1">
        <f>D33*Y33</f>
        <v>7</v>
      </c>
      <c r="F33" s="1">
        <f>4.5</f>
        <v>4.5</v>
      </c>
      <c r="G33" s="1">
        <f>F33*Y33</f>
        <v>15.75</v>
      </c>
      <c r="I33" s="1">
        <f>H33*Y33</f>
        <v>0</v>
      </c>
      <c r="K33" s="1">
        <f>J33*Y33</f>
        <v>0</v>
      </c>
      <c r="L33" s="1">
        <v>10</v>
      </c>
      <c r="M33" s="1">
        <f>L33*Y33</f>
        <v>35</v>
      </c>
      <c r="N33" s="37"/>
      <c r="O33" s="37"/>
      <c r="P33" s="37" t="s">
        <v>26</v>
      </c>
      <c r="Q33" s="37"/>
      <c r="R33" s="37"/>
      <c r="S33" s="37"/>
      <c r="T33" s="37"/>
      <c r="U33" s="37"/>
      <c r="W33" s="1" t="s">
        <v>133</v>
      </c>
      <c r="X33" s="38">
        <f>B33+D33+F33+H33+J33+L33</f>
        <v>16.5</v>
      </c>
      <c r="Y33" s="38">
        <v>3.5</v>
      </c>
      <c r="Z33" s="43">
        <f>X33*Y33</f>
        <v>57.75</v>
      </c>
      <c r="AB33" s="1">
        <v>5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3.5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1.135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0.29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Y54" s="1">
        <v>0.005925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4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ht="12.75">
      <c r="C97" s="1">
        <f>B97*Y97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AC1">
      <selection activeCell="AV2" sqref="AV2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11.140625" style="1" customWidth="1"/>
    <col min="15" max="15" width="15.28125" style="1" customWidth="1"/>
    <col min="16" max="16" width="9.140625" style="1" customWidth="1"/>
    <col min="17" max="17" width="18.14062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7.574218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5.8515625" style="1" customWidth="1"/>
    <col min="39" max="39" width="11.57421875" style="1" customWidth="1"/>
    <col min="40" max="40" width="2.57421875" style="1" customWidth="1"/>
    <col min="41" max="41" width="15.00390625" style="1" customWidth="1"/>
    <col min="42" max="42" width="11.57421875" style="1" customWidth="1"/>
    <col min="43" max="43" width="2.8515625" style="1" customWidth="1"/>
    <col min="44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1" t="s">
        <v>20</v>
      </c>
      <c r="X1" s="1" t="s">
        <v>21</v>
      </c>
      <c r="Z1" s="38" t="s">
        <v>22</v>
      </c>
      <c r="AA1" s="38" t="s">
        <v>23</v>
      </c>
      <c r="AB1" s="39" t="s">
        <v>24</v>
      </c>
      <c r="AD1" s="1" t="s">
        <v>25</v>
      </c>
    </row>
    <row r="2" spans="1:45" ht="12.75">
      <c r="A2" s="5">
        <v>42583</v>
      </c>
      <c r="B2" s="1">
        <v>0.6000000000000001</v>
      </c>
      <c r="C2" s="1">
        <f>B2*AA2</f>
        <v>2.1000000000000005</v>
      </c>
      <c r="D2" s="1">
        <f>1+0.8+2.25+2</f>
        <v>6.05</v>
      </c>
      <c r="E2" s="1">
        <f>D2*AA2</f>
        <v>21.175</v>
      </c>
      <c r="F2" s="1">
        <v>3</v>
      </c>
      <c r="G2" s="1">
        <f>F2*AA2</f>
        <v>10.5</v>
      </c>
      <c r="I2" s="1">
        <f>H2*AA2</f>
        <v>0</v>
      </c>
      <c r="K2" s="1">
        <f>J2*AA2</f>
        <v>0</v>
      </c>
      <c r="M2" s="1">
        <f>L2*AA2</f>
        <v>0</v>
      </c>
      <c r="O2" s="1">
        <f>N2*AA2</f>
        <v>0</v>
      </c>
      <c r="P2" s="37"/>
      <c r="Q2" s="37"/>
      <c r="R2" s="37" t="s">
        <v>26</v>
      </c>
      <c r="S2" s="37"/>
      <c r="T2" s="37"/>
      <c r="U2" s="37"/>
      <c r="V2" s="37"/>
      <c r="X2" s="1">
        <v>2</v>
      </c>
      <c r="Y2" s="1" t="s">
        <v>134</v>
      </c>
      <c r="Z2" s="38">
        <f>B2+D2+F2+H2+J2+L2+N2</f>
        <v>9.65</v>
      </c>
      <c r="AA2" s="38">
        <v>3.5</v>
      </c>
      <c r="AB2" s="43">
        <f>Z2*AA2</f>
        <v>33.775</v>
      </c>
      <c r="AD2" s="1">
        <v>5</v>
      </c>
      <c r="AF2" s="44" t="s">
        <v>28</v>
      </c>
      <c r="AG2" s="44">
        <f>SUM(AB2:AB994)</f>
        <v>2808.9948</v>
      </c>
      <c r="AH2" s="44"/>
      <c r="AI2" s="44" t="s">
        <v>29</v>
      </c>
      <c r="AJ2" s="58">
        <f>AG2/AG5</f>
        <v>90.61273548387096</v>
      </c>
      <c r="AL2" s="44" t="s">
        <v>93</v>
      </c>
      <c r="AM2" s="44">
        <f>COUNTBLANK(L2:L40)-COUNTBLANK(A2:A40)</f>
        <v>14</v>
      </c>
      <c r="AN2" s="7"/>
      <c r="AO2" s="59" t="s">
        <v>313</v>
      </c>
      <c r="AP2" s="59">
        <f>SUMIF(AD2:AD44,"=5",AB2:AB44)</f>
        <v>2808.9948</v>
      </c>
      <c r="AQ2" s="7"/>
      <c r="AR2" s="7"/>
      <c r="AS2" s="7"/>
    </row>
    <row r="3" spans="1:45" ht="12.75">
      <c r="A3" s="5">
        <v>42584</v>
      </c>
      <c r="C3" s="1">
        <f>B3*AA3</f>
        <v>0</v>
      </c>
      <c r="D3" s="1">
        <f>1.25+6.95</f>
        <v>8.2</v>
      </c>
      <c r="E3" s="1">
        <f>D3*AA3</f>
        <v>28.699999999999996</v>
      </c>
      <c r="F3" s="1">
        <v>4</v>
      </c>
      <c r="G3" s="1">
        <f>F3*AA3</f>
        <v>14</v>
      </c>
      <c r="I3" s="1">
        <f>H3*AA3</f>
        <v>0</v>
      </c>
      <c r="K3" s="1">
        <f>J3*AA3</f>
        <v>0</v>
      </c>
      <c r="M3" s="1">
        <f>L3*AA3</f>
        <v>0</v>
      </c>
      <c r="O3" s="1">
        <f>N3*AA3</f>
        <v>0</v>
      </c>
      <c r="P3" s="37"/>
      <c r="Q3" s="37"/>
      <c r="R3" s="37" t="s">
        <v>26</v>
      </c>
      <c r="S3" s="37"/>
      <c r="T3" s="37"/>
      <c r="U3" s="37"/>
      <c r="V3" s="37"/>
      <c r="Y3" s="1" t="s">
        <v>134</v>
      </c>
      <c r="Z3" s="38">
        <f>B3+D3+F3+H3+J3+L3+N3</f>
        <v>12.2</v>
      </c>
      <c r="AA3" s="38">
        <v>3.5</v>
      </c>
      <c r="AB3" s="43">
        <f>Z3*AA3</f>
        <v>42.699999999999996</v>
      </c>
      <c r="AD3" s="1">
        <v>5</v>
      </c>
      <c r="AF3" s="49"/>
      <c r="AG3" s="44"/>
      <c r="AH3" s="44"/>
      <c r="AI3" s="49"/>
      <c r="AJ3" s="45"/>
      <c r="AL3" s="44" t="s">
        <v>95</v>
      </c>
      <c r="AM3" s="44">
        <f>COUNT(L2:L36)</f>
        <v>17</v>
      </c>
      <c r="AO3" s="59" t="s">
        <v>314</v>
      </c>
      <c r="AP3" s="59">
        <f>_xlfn.COUNTIFS(A2:A44,"&lt;&gt;''",AD2:AD44,"=5")</f>
        <v>31</v>
      </c>
      <c r="AQ3" s="7"/>
      <c r="AR3" s="7"/>
      <c r="AS3" s="7"/>
    </row>
    <row r="4" spans="1:45" ht="12.75">
      <c r="A4" s="5">
        <v>42585</v>
      </c>
      <c r="B4" s="1">
        <f>4+0.2</f>
        <v>4.2</v>
      </c>
      <c r="C4" s="1">
        <f>B4*AA4</f>
        <v>14.700000000000001</v>
      </c>
      <c r="D4" s="1">
        <v>1.5</v>
      </c>
      <c r="E4" s="1">
        <f>D4*AA4</f>
        <v>5.25</v>
      </c>
      <c r="F4" s="1">
        <v>2.2</v>
      </c>
      <c r="G4" s="1">
        <f>F4*AA4</f>
        <v>7.700000000000001</v>
      </c>
      <c r="I4" s="1">
        <f>H4*AA4</f>
        <v>0</v>
      </c>
      <c r="K4" s="1">
        <f>J4*AA4</f>
        <v>0</v>
      </c>
      <c r="M4" s="1">
        <f>L4*AA4</f>
        <v>0</v>
      </c>
      <c r="O4" s="1">
        <f>N4*AA4</f>
        <v>0</v>
      </c>
      <c r="P4" s="37"/>
      <c r="Q4" s="37"/>
      <c r="R4" s="37" t="s">
        <v>26</v>
      </c>
      <c r="S4" s="37"/>
      <c r="T4" s="37"/>
      <c r="U4" s="37"/>
      <c r="V4" s="37"/>
      <c r="X4" s="1">
        <v>1</v>
      </c>
      <c r="Y4" s="1" t="s">
        <v>134</v>
      </c>
      <c r="Z4" s="38">
        <f>B4+D4+F4+H4+J4+L4+N4</f>
        <v>7.9</v>
      </c>
      <c r="AA4" s="38">
        <v>3.5</v>
      </c>
      <c r="AB4" s="43">
        <f>Z4*AA4</f>
        <v>27.650000000000002</v>
      </c>
      <c r="AD4" s="1">
        <v>5</v>
      </c>
      <c r="AF4" s="44"/>
      <c r="AG4" s="44"/>
      <c r="AH4" s="44"/>
      <c r="AI4" s="44"/>
      <c r="AJ4" s="44"/>
      <c r="AL4" s="44" t="s">
        <v>218</v>
      </c>
      <c r="AM4" s="44">
        <f>COUNTA(U2:U49)</f>
        <v>0</v>
      </c>
      <c r="AO4" s="59" t="s">
        <v>315</v>
      </c>
      <c r="AP4" s="59">
        <f>AP2/AP3</f>
        <v>90.61273548387096</v>
      </c>
      <c r="AQ4" s="7"/>
      <c r="AR4" s="7"/>
      <c r="AS4" s="7"/>
    </row>
    <row r="5" spans="1:39" ht="12.75">
      <c r="A5" s="5">
        <v>42586</v>
      </c>
      <c r="C5" s="1">
        <f>B5*AA5</f>
        <v>0</v>
      </c>
      <c r="D5" s="1">
        <f>1+1+1.5+0.94+1</f>
        <v>5.44</v>
      </c>
      <c r="E5" s="1">
        <f>D5*AA5</f>
        <v>19.040000000000003</v>
      </c>
      <c r="F5" s="1">
        <v>4.75</v>
      </c>
      <c r="G5" s="1">
        <f>F5*AA5</f>
        <v>16.625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P5" s="37"/>
      <c r="Q5" s="37"/>
      <c r="R5" s="37" t="s">
        <v>26</v>
      </c>
      <c r="S5" s="37"/>
      <c r="T5" s="37"/>
      <c r="U5" s="37"/>
      <c r="V5" s="37"/>
      <c r="Y5" s="1" t="s">
        <v>134</v>
      </c>
      <c r="Z5" s="38">
        <f>B5+D5+F5+H5+J5+L5+N5</f>
        <v>10.190000000000001</v>
      </c>
      <c r="AA5" s="38">
        <v>3.5</v>
      </c>
      <c r="AB5" s="43">
        <f>Z5*AA5</f>
        <v>35.665000000000006</v>
      </c>
      <c r="AD5" s="1">
        <v>5</v>
      </c>
      <c r="AF5" s="44" t="s">
        <v>42</v>
      </c>
      <c r="AG5" s="44">
        <f>COUNTA(A2:A349)</f>
        <v>31</v>
      </c>
      <c r="AH5" s="44"/>
      <c r="AI5" s="44"/>
      <c r="AJ5" s="44"/>
      <c r="AL5" s="44" t="s">
        <v>264</v>
      </c>
      <c r="AM5" s="44">
        <f>COUNTA(P2:P49)</f>
        <v>0</v>
      </c>
    </row>
    <row r="6" spans="1:39" ht="12.75">
      <c r="A6" s="5">
        <v>42587</v>
      </c>
      <c r="C6" s="1">
        <f>B6*AA6</f>
        <v>0</v>
      </c>
      <c r="D6" s="1">
        <f>2+4.16</f>
        <v>6.16</v>
      </c>
      <c r="E6" s="1">
        <f>D6*AA6</f>
        <v>21.560000000000002</v>
      </c>
      <c r="F6" s="1">
        <f>3.5</f>
        <v>3.5</v>
      </c>
      <c r="G6" s="1">
        <f>F6*AA6</f>
        <v>12.25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P6" s="37"/>
      <c r="Q6" s="37"/>
      <c r="R6" s="37" t="s">
        <v>26</v>
      </c>
      <c r="S6" s="37"/>
      <c r="T6" s="37"/>
      <c r="U6" s="37"/>
      <c r="V6" s="37"/>
      <c r="Y6" s="1" t="s">
        <v>134</v>
      </c>
      <c r="Z6" s="38">
        <f>B6+D6+F6+H6+J6+L6+N6</f>
        <v>9.66</v>
      </c>
      <c r="AA6" s="38">
        <v>3.5</v>
      </c>
      <c r="AB6" s="43">
        <f>Z6*AA6</f>
        <v>33.81</v>
      </c>
      <c r="AD6" s="1">
        <v>5</v>
      </c>
      <c r="AF6" s="49"/>
      <c r="AG6" s="44"/>
      <c r="AH6" s="44"/>
      <c r="AI6" s="44"/>
      <c r="AJ6" s="44"/>
      <c r="AL6" s="44" t="s">
        <v>265</v>
      </c>
      <c r="AM6" s="44">
        <f>COUNTA(R2:R49)</f>
        <v>28</v>
      </c>
    </row>
    <row r="7" spans="1:39" ht="12.75">
      <c r="A7" s="5">
        <v>42588</v>
      </c>
      <c r="B7" s="1">
        <f>2.1+12+0.2</f>
        <v>14.299999999999999</v>
      </c>
      <c r="C7" s="1">
        <f>B7*AA7</f>
        <v>50.05</v>
      </c>
      <c r="D7" s="1">
        <v>14.15</v>
      </c>
      <c r="E7" s="1">
        <f>D7*AA7</f>
        <v>49.525</v>
      </c>
      <c r="F7" s="1">
        <v>3</v>
      </c>
      <c r="G7" s="1">
        <f>F7*AA7</f>
        <v>10.5</v>
      </c>
      <c r="H7" s="1">
        <v>10</v>
      </c>
      <c r="I7" s="1">
        <f>H7*AA7</f>
        <v>35</v>
      </c>
      <c r="J7" s="1">
        <v>0.42</v>
      </c>
      <c r="K7" s="1">
        <f>J7*AA7</f>
        <v>1.47</v>
      </c>
      <c r="M7" s="1">
        <f>L7*AA7</f>
        <v>0</v>
      </c>
      <c r="O7" s="1">
        <f>N7*AA7</f>
        <v>0</v>
      </c>
      <c r="P7" s="37"/>
      <c r="Q7" s="37"/>
      <c r="R7" s="37"/>
      <c r="S7" s="37"/>
      <c r="T7" s="37" t="s">
        <v>26</v>
      </c>
      <c r="U7" s="37"/>
      <c r="V7" s="37"/>
      <c r="Y7" s="1" t="s">
        <v>135</v>
      </c>
      <c r="Z7" s="38">
        <f>B7+D7+F7+H7+J7+L7+N7</f>
        <v>41.870000000000005</v>
      </c>
      <c r="AA7" s="38">
        <v>3.5</v>
      </c>
      <c r="AB7" s="43">
        <f>Z7*AA7</f>
        <v>146.54500000000002</v>
      </c>
      <c r="AD7" s="1">
        <v>5</v>
      </c>
      <c r="AF7" s="44"/>
      <c r="AG7" s="44"/>
      <c r="AH7" s="44"/>
      <c r="AI7" s="44" t="s">
        <v>46</v>
      </c>
      <c r="AJ7" s="44"/>
      <c r="AL7" s="44" t="s">
        <v>16</v>
      </c>
      <c r="AM7" s="44">
        <f>COUNTA(S2:S49)</f>
        <v>0</v>
      </c>
    </row>
    <row r="8" spans="1:39" ht="12.75">
      <c r="A8" s="5">
        <v>42589</v>
      </c>
      <c r="C8" s="1">
        <f>B8*AA8</f>
        <v>0</v>
      </c>
      <c r="D8" s="1">
        <f>4.45</f>
        <v>4.45</v>
      </c>
      <c r="E8" s="1">
        <f>D8*AA8</f>
        <v>15.575000000000001</v>
      </c>
      <c r="G8" s="1">
        <f>F8*AA8</f>
        <v>0</v>
      </c>
      <c r="I8" s="1">
        <f>H8*AA8</f>
        <v>0</v>
      </c>
      <c r="K8" s="1">
        <f>J8*AA8</f>
        <v>0</v>
      </c>
      <c r="M8" s="1">
        <f>L8*AA8</f>
        <v>0</v>
      </c>
      <c r="O8" s="1">
        <f>N8*AA8</f>
        <v>0</v>
      </c>
      <c r="P8" s="37"/>
      <c r="Q8" s="37"/>
      <c r="R8" s="37"/>
      <c r="S8" s="37"/>
      <c r="T8" s="37" t="s">
        <v>26</v>
      </c>
      <c r="U8" s="37"/>
      <c r="V8" s="37"/>
      <c r="Y8" s="1" t="s">
        <v>136</v>
      </c>
      <c r="Z8" s="38">
        <f>B8+D8+F8+H8+J8+L8+N8</f>
        <v>4.45</v>
      </c>
      <c r="AA8" s="38">
        <v>3.5</v>
      </c>
      <c r="AB8" s="43">
        <f>Z8*AA8</f>
        <v>15.575000000000001</v>
      </c>
      <c r="AD8" s="1">
        <v>5</v>
      </c>
      <c r="AF8" s="44" t="s">
        <v>48</v>
      </c>
      <c r="AG8" s="54">
        <f>SUM(M2:M994)</f>
        <v>287.2800000000001</v>
      </c>
      <c r="AH8" s="44"/>
      <c r="AI8" s="44" t="s">
        <v>11</v>
      </c>
      <c r="AJ8" s="54">
        <f>AG8/$AG$5</f>
        <v>9.26709677419355</v>
      </c>
      <c r="AL8" s="44" t="s">
        <v>269</v>
      </c>
      <c r="AM8" s="44">
        <f>COUNTA(Q2:Q49)</f>
        <v>0</v>
      </c>
    </row>
    <row r="9" spans="1:39" ht="12.75">
      <c r="A9" s="5">
        <v>42590</v>
      </c>
      <c r="C9" s="1">
        <f>B9*AA9</f>
        <v>0</v>
      </c>
      <c r="D9" s="1">
        <f>19.15</f>
        <v>19.15</v>
      </c>
      <c r="E9" s="1">
        <f>D9*AA9</f>
        <v>67.02499999999999</v>
      </c>
      <c r="F9" s="1">
        <v>6.75</v>
      </c>
      <c r="G9" s="1">
        <f>F9*AA9</f>
        <v>23.625</v>
      </c>
      <c r="H9" s="1">
        <v>10</v>
      </c>
      <c r="I9" s="1">
        <f>H9*AA9</f>
        <v>35</v>
      </c>
      <c r="K9" s="1">
        <f>J9*AA9</f>
        <v>0</v>
      </c>
      <c r="M9" s="1">
        <f>L9*AA9</f>
        <v>0</v>
      </c>
      <c r="O9" s="1">
        <f>N9*AA9</f>
        <v>0</v>
      </c>
      <c r="P9" s="37"/>
      <c r="Q9" s="37"/>
      <c r="R9" s="37"/>
      <c r="S9" s="37"/>
      <c r="T9" s="37" t="s">
        <v>26</v>
      </c>
      <c r="U9" s="37"/>
      <c r="V9" s="37"/>
      <c r="Y9" s="1" t="s">
        <v>136</v>
      </c>
      <c r="Z9" s="38">
        <f>B9+D9+F9+H9+J9+L9+N9</f>
        <v>35.9</v>
      </c>
      <c r="AA9" s="38">
        <v>3.5</v>
      </c>
      <c r="AB9" s="43">
        <f>Z9*AA9</f>
        <v>125.64999999999999</v>
      </c>
      <c r="AD9" s="1">
        <v>5</v>
      </c>
      <c r="AF9" s="44" t="s">
        <v>50</v>
      </c>
      <c r="AG9" s="54">
        <f>SUM(C2:C994)</f>
        <v>217.84300000000002</v>
      </c>
      <c r="AH9" s="44"/>
      <c r="AI9" s="44" t="s">
        <v>1</v>
      </c>
      <c r="AJ9" s="44">
        <f>AG9/$AG$5</f>
        <v>7.027193548387097</v>
      </c>
      <c r="AL9" s="44" t="s">
        <v>20</v>
      </c>
      <c r="AM9" s="44">
        <f>COUNTA(W3:W50)</f>
        <v>0</v>
      </c>
    </row>
    <row r="10" spans="1:39" ht="12.75">
      <c r="A10" s="5">
        <v>42591</v>
      </c>
      <c r="C10" s="1">
        <f>B10*AA10</f>
        <v>0</v>
      </c>
      <c r="D10" s="1">
        <v>4.15</v>
      </c>
      <c r="E10" s="1">
        <f>D10*AA10</f>
        <v>14.193000000000001</v>
      </c>
      <c r="G10" s="1">
        <f>F10*AA10</f>
        <v>0</v>
      </c>
      <c r="I10" s="1">
        <f>H10*AA10</f>
        <v>0</v>
      </c>
      <c r="K10" s="1">
        <f>J10*AA10</f>
        <v>0</v>
      </c>
      <c r="M10" s="1">
        <f>L10*AA10</f>
        <v>0</v>
      </c>
      <c r="O10" s="1">
        <f>N10*AA10</f>
        <v>0</v>
      </c>
      <c r="P10" s="37"/>
      <c r="Q10" s="37"/>
      <c r="R10" s="37" t="s">
        <v>26</v>
      </c>
      <c r="S10" s="37"/>
      <c r="T10" s="37"/>
      <c r="U10" s="37"/>
      <c r="V10" s="37"/>
      <c r="X10" s="1">
        <v>2</v>
      </c>
      <c r="Y10" s="1" t="s">
        <v>137</v>
      </c>
      <c r="Z10" s="38">
        <f>B10+D10+F10+H10+J10+L10+N10</f>
        <v>4.15</v>
      </c>
      <c r="AA10" s="38">
        <v>3.42</v>
      </c>
      <c r="AB10" s="43">
        <f>Z10*AA10</f>
        <v>14.193000000000001</v>
      </c>
      <c r="AD10" s="1">
        <v>5</v>
      </c>
      <c r="AF10" s="44" t="s">
        <v>51</v>
      </c>
      <c r="AG10" s="54">
        <f>SUM(E2:E994)</f>
        <v>942.7668</v>
      </c>
      <c r="AH10" s="44"/>
      <c r="AI10" s="44" t="s">
        <v>52</v>
      </c>
      <c r="AJ10" s="44">
        <f>AG10/$AG$5</f>
        <v>30.411832258064514</v>
      </c>
      <c r="AL10" s="44" t="s">
        <v>17</v>
      </c>
      <c r="AM10" s="44">
        <f>COUNTA(T4:T51)</f>
        <v>3</v>
      </c>
    </row>
    <row r="11" spans="1:36" ht="12.75">
      <c r="A11" s="5">
        <v>42592</v>
      </c>
      <c r="C11" s="1">
        <f>B11*AA11</f>
        <v>0</v>
      </c>
      <c r="D11" s="1">
        <f>4.5+1+1.05+2</f>
        <v>8.55</v>
      </c>
      <c r="E11" s="1">
        <f>D11*AA11</f>
        <v>29.241000000000003</v>
      </c>
      <c r="G11" s="1">
        <f>F11*AA11</f>
        <v>0</v>
      </c>
      <c r="I11" s="1">
        <f>H11*AA11</f>
        <v>0</v>
      </c>
      <c r="K11" s="1">
        <f>J11*AA11</f>
        <v>0</v>
      </c>
      <c r="M11" s="1">
        <f>L11*AA11</f>
        <v>0</v>
      </c>
      <c r="O11" s="1">
        <f>N11*AA11</f>
        <v>0</v>
      </c>
      <c r="P11" s="37"/>
      <c r="Q11" s="37"/>
      <c r="R11" s="37" t="s">
        <v>26</v>
      </c>
      <c r="S11" s="37"/>
      <c r="T11" s="37"/>
      <c r="U11" s="37"/>
      <c r="V11" s="37"/>
      <c r="Y11" s="1" t="s">
        <v>138</v>
      </c>
      <c r="Z11" s="38">
        <f>B11+D11+F11+H11+J11+L11+N11</f>
        <v>8.55</v>
      </c>
      <c r="AA11" s="38">
        <v>3.42</v>
      </c>
      <c r="AB11" s="43">
        <f>Z11*AA11</f>
        <v>29.241000000000003</v>
      </c>
      <c r="AD11" s="1">
        <v>5</v>
      </c>
      <c r="AF11" s="44" t="s">
        <v>54</v>
      </c>
      <c r="AG11" s="54">
        <f>SUM(G2:G994)</f>
        <v>156.76</v>
      </c>
      <c r="AH11" s="44"/>
      <c r="AI11" s="44" t="s">
        <v>55</v>
      </c>
      <c r="AJ11" s="54">
        <f>AG11/$AG$5</f>
        <v>5.056774193548387</v>
      </c>
    </row>
    <row r="12" spans="1:36" ht="12.75">
      <c r="A12" s="5">
        <v>42593</v>
      </c>
      <c r="C12" s="1">
        <f>B12*AA12</f>
        <v>0</v>
      </c>
      <c r="D12" s="1">
        <f>1+1.1+0.8+3.3+5.2+3.15+1</f>
        <v>15.55</v>
      </c>
      <c r="E12" s="1">
        <f>D12*AA12</f>
        <v>53.181000000000004</v>
      </c>
      <c r="G12" s="1">
        <f>F12*AA12</f>
        <v>0</v>
      </c>
      <c r="I12" s="1">
        <f>H12*AA12</f>
        <v>0</v>
      </c>
      <c r="K12" s="1">
        <f>J12*AA12</f>
        <v>0</v>
      </c>
      <c r="L12" s="1">
        <v>4</v>
      </c>
      <c r="M12" s="1">
        <f>L12*AA12</f>
        <v>13.68</v>
      </c>
      <c r="O12" s="1">
        <f>N12*AA12</f>
        <v>0</v>
      </c>
      <c r="P12" s="37"/>
      <c r="Q12" s="37"/>
      <c r="R12" s="37" t="s">
        <v>26</v>
      </c>
      <c r="S12" s="37"/>
      <c r="T12" s="37"/>
      <c r="U12" s="37"/>
      <c r="V12" s="37"/>
      <c r="Y12" s="1" t="s">
        <v>138</v>
      </c>
      <c r="Z12" s="38">
        <f>B12+D12+F12+H12+J12+L12+N12</f>
        <v>19.55</v>
      </c>
      <c r="AA12" s="38">
        <v>3.42</v>
      </c>
      <c r="AB12" s="43">
        <f>Z12*AA12</f>
        <v>66.861</v>
      </c>
      <c r="AD12" s="1">
        <v>5</v>
      </c>
      <c r="AF12" s="44" t="s">
        <v>57</v>
      </c>
      <c r="AG12" s="54">
        <f>SUM(K2:K994)</f>
        <v>26.265</v>
      </c>
      <c r="AH12" s="44"/>
      <c r="AI12" s="44" t="s">
        <v>9</v>
      </c>
      <c r="AJ12" s="54">
        <f>AG12/$AG$5</f>
        <v>0.8472580645161291</v>
      </c>
    </row>
    <row r="13" spans="1:36" ht="12.75">
      <c r="A13" s="5">
        <v>42594</v>
      </c>
      <c r="C13" s="1">
        <f>B13*AA13</f>
        <v>0</v>
      </c>
      <c r="D13" s="1">
        <f>0.9+0.8+5+4.35</f>
        <v>11.05</v>
      </c>
      <c r="E13" s="1">
        <f>D13*AA13</f>
        <v>37.791000000000004</v>
      </c>
      <c r="G13" s="1">
        <f>F13*AA13</f>
        <v>0</v>
      </c>
      <c r="I13" s="1">
        <f>H13*AA13</f>
        <v>0</v>
      </c>
      <c r="K13" s="1">
        <f>J13*AA13</f>
        <v>0</v>
      </c>
      <c r="L13" s="1">
        <v>4</v>
      </c>
      <c r="M13" s="1">
        <f>L13*AA13</f>
        <v>13.68</v>
      </c>
      <c r="O13" s="1">
        <f>N13*AA13</f>
        <v>0</v>
      </c>
      <c r="P13" s="37"/>
      <c r="Q13" s="37"/>
      <c r="R13" s="37" t="s">
        <v>26</v>
      </c>
      <c r="S13" s="37"/>
      <c r="T13" s="37"/>
      <c r="U13" s="37"/>
      <c r="V13" s="37"/>
      <c r="Y13" s="1" t="s">
        <v>138</v>
      </c>
      <c r="Z13" s="38">
        <f>B13+D13+F13+H13+J13+L13+N13</f>
        <v>15.05</v>
      </c>
      <c r="AA13" s="38">
        <v>3.42</v>
      </c>
      <c r="AB13" s="43">
        <f>Z13*AA13</f>
        <v>51.471000000000004</v>
      </c>
      <c r="AD13" s="1">
        <v>5</v>
      </c>
      <c r="AF13" s="44" t="s">
        <v>58</v>
      </c>
      <c r="AG13" s="44">
        <f>SUM(I2:I994)</f>
        <v>83.68</v>
      </c>
      <c r="AH13" s="44"/>
      <c r="AI13" s="44" t="s">
        <v>7</v>
      </c>
      <c r="AJ13" s="54">
        <f>AG13/$AG$5</f>
        <v>2.6993548387096777</v>
      </c>
    </row>
    <row r="14" spans="1:36" ht="12.75">
      <c r="A14" s="5">
        <v>42595</v>
      </c>
      <c r="C14" s="1">
        <f>B14*AA14</f>
        <v>0</v>
      </c>
      <c r="D14" s="1">
        <f>0.5+2.5+4+1.3+1.5+8.05+2.07</f>
        <v>19.92</v>
      </c>
      <c r="E14" s="1">
        <f>D14*AA14</f>
        <v>68.1264</v>
      </c>
      <c r="G14" s="1">
        <f>F14*AA14</f>
        <v>0</v>
      </c>
      <c r="I14" s="1">
        <f>H14*AA14</f>
        <v>0</v>
      </c>
      <c r="K14" s="1">
        <f>J14*AA14</f>
        <v>0</v>
      </c>
      <c r="L14" s="1">
        <v>4</v>
      </c>
      <c r="M14" s="1">
        <f>L14*AA14</f>
        <v>13.68</v>
      </c>
      <c r="O14" s="1">
        <f>N14*AA14</f>
        <v>0</v>
      </c>
      <c r="P14" s="37"/>
      <c r="Q14" s="37"/>
      <c r="R14" s="37" t="s">
        <v>26</v>
      </c>
      <c r="S14" s="37"/>
      <c r="T14" s="37"/>
      <c r="U14" s="37"/>
      <c r="V14" s="37"/>
      <c r="Y14" s="1" t="s">
        <v>138</v>
      </c>
      <c r="Z14" s="38">
        <f>B14+D14+F14+H14+J14+L14+N14</f>
        <v>23.92</v>
      </c>
      <c r="AA14" s="38">
        <v>3.42</v>
      </c>
      <c r="AB14" s="43">
        <f>Z14*AA14</f>
        <v>81.80640000000001</v>
      </c>
      <c r="AD14" s="1">
        <v>5</v>
      </c>
      <c r="AF14" s="44" t="s">
        <v>317</v>
      </c>
      <c r="AG14" s="44">
        <f>SUM(O3:O995)</f>
        <v>1094.4</v>
      </c>
      <c r="AH14" s="44"/>
      <c r="AI14" s="44"/>
      <c r="AJ14" s="44"/>
    </row>
    <row r="15" spans="1:33" ht="12.75">
      <c r="A15" s="5">
        <v>42596</v>
      </c>
      <c r="C15" s="1">
        <f>B15*AA15</f>
        <v>0</v>
      </c>
      <c r="D15" s="1">
        <f>2.1+1.25+2+1+0.5</f>
        <v>6.85</v>
      </c>
      <c r="E15" s="1">
        <f>D15*AA15</f>
        <v>23.427</v>
      </c>
      <c r="G15" s="1">
        <f>F15*AA15</f>
        <v>0</v>
      </c>
      <c r="I15" s="1">
        <f>H15*AA15</f>
        <v>0</v>
      </c>
      <c r="K15" s="1">
        <f>J15*AA15</f>
        <v>0</v>
      </c>
      <c r="L15" s="1">
        <v>4</v>
      </c>
      <c r="M15" s="1">
        <f>L15*AA15</f>
        <v>13.68</v>
      </c>
      <c r="O15" s="1">
        <f>N15*AA15</f>
        <v>0</v>
      </c>
      <c r="P15" s="37"/>
      <c r="Q15" s="37"/>
      <c r="R15" s="37" t="s">
        <v>26</v>
      </c>
      <c r="S15" s="37"/>
      <c r="T15" s="37"/>
      <c r="U15" s="37"/>
      <c r="V15" s="37"/>
      <c r="Y15" s="1" t="s">
        <v>138</v>
      </c>
      <c r="Z15" s="38">
        <f>B15+D15+F15+H15+J15+L15+N15</f>
        <v>10.85</v>
      </c>
      <c r="AA15" s="38">
        <v>3.42</v>
      </c>
      <c r="AB15" s="43">
        <f>Z15*AA15</f>
        <v>37.107</v>
      </c>
      <c r="AD15" s="1">
        <v>5</v>
      </c>
      <c r="AF15" s="8"/>
      <c r="AG15" s="8"/>
    </row>
    <row r="16" spans="1:32" ht="12.75">
      <c r="A16" s="5">
        <v>42597</v>
      </c>
      <c r="C16" s="1">
        <f>B16*AA16</f>
        <v>0</v>
      </c>
      <c r="D16" s="1">
        <f>2+0.75+1.1+1+1.85+6.45+1+0.5+1</f>
        <v>15.649999999999999</v>
      </c>
      <c r="E16" s="1">
        <f>D16*AA16</f>
        <v>53.522999999999996</v>
      </c>
      <c r="G16" s="1">
        <f>F16*AA16</f>
        <v>0</v>
      </c>
      <c r="I16" s="1">
        <f>H16*AA16</f>
        <v>0</v>
      </c>
      <c r="K16" s="1">
        <f>J16*AA16</f>
        <v>0</v>
      </c>
      <c r="L16" s="1">
        <v>4</v>
      </c>
      <c r="M16" s="1">
        <f>L16*AA16</f>
        <v>13.68</v>
      </c>
      <c r="O16" s="1">
        <f>N16*AA16</f>
        <v>0</v>
      </c>
      <c r="P16" s="37"/>
      <c r="Q16" s="37"/>
      <c r="R16" s="37" t="s">
        <v>26</v>
      </c>
      <c r="S16" s="37"/>
      <c r="T16" s="37"/>
      <c r="U16" s="37"/>
      <c r="V16" s="37"/>
      <c r="Y16" s="1" t="s">
        <v>138</v>
      </c>
      <c r="Z16" s="38">
        <f>B16+D16+F16+H16+J16+L16+N16</f>
        <v>19.65</v>
      </c>
      <c r="AA16" s="38">
        <v>3.42</v>
      </c>
      <c r="AB16" s="43">
        <f>Z16*AA16</f>
        <v>67.20299999999999</v>
      </c>
      <c r="AD16" s="1">
        <v>5</v>
      </c>
      <c r="AF16" s="8"/>
    </row>
    <row r="17" spans="1:30" ht="12.75">
      <c r="A17" s="5">
        <v>42598</v>
      </c>
      <c r="C17" s="1">
        <f>B17*AA17</f>
        <v>0</v>
      </c>
      <c r="D17" s="1">
        <f>2.1+9.15+1.2</f>
        <v>12.45</v>
      </c>
      <c r="E17" s="1">
        <f>D17*AA17</f>
        <v>42.57899999999999</v>
      </c>
      <c r="G17" s="1">
        <f>F17*AA17</f>
        <v>0</v>
      </c>
      <c r="I17" s="1">
        <f>H17*AA17</f>
        <v>0</v>
      </c>
      <c r="K17" s="1">
        <f>J17*AA17</f>
        <v>0</v>
      </c>
      <c r="L17" s="1">
        <v>4</v>
      </c>
      <c r="M17" s="1">
        <f>L17*AA17</f>
        <v>13.68</v>
      </c>
      <c r="O17" s="1">
        <f>N17*AA17</f>
        <v>0</v>
      </c>
      <c r="P17" s="37"/>
      <c r="Q17" s="37"/>
      <c r="R17" s="37" t="s">
        <v>26</v>
      </c>
      <c r="S17" s="37"/>
      <c r="T17" s="37"/>
      <c r="U17" s="37"/>
      <c r="V17" s="37"/>
      <c r="Y17" s="1" t="s">
        <v>138</v>
      </c>
      <c r="Z17" s="38">
        <f>B17+D17+F17+H17+J17+L17+N17</f>
        <v>16.45</v>
      </c>
      <c r="AA17" s="38">
        <v>3.42</v>
      </c>
      <c r="AB17" s="43">
        <f>Z17*AA17</f>
        <v>56.25899999999999</v>
      </c>
      <c r="AD17" s="1">
        <v>5</v>
      </c>
    </row>
    <row r="18" spans="1:30" ht="12.75">
      <c r="A18" s="5">
        <v>42599</v>
      </c>
      <c r="C18" s="1">
        <f>B18*AA18</f>
        <v>0</v>
      </c>
      <c r="D18" s="1">
        <f>0.6+1.5+1+1+0.25+4.5+0.4</f>
        <v>9.25</v>
      </c>
      <c r="E18" s="1">
        <f>D18*AA18</f>
        <v>31.634999999999998</v>
      </c>
      <c r="G18" s="1">
        <f>F18*AA18</f>
        <v>0</v>
      </c>
      <c r="I18" s="1">
        <f>H18*AA18</f>
        <v>0</v>
      </c>
      <c r="K18" s="1">
        <f>J18*AA18</f>
        <v>0</v>
      </c>
      <c r="L18" s="1">
        <v>4</v>
      </c>
      <c r="M18" s="1">
        <f>L18*AA18</f>
        <v>13.68</v>
      </c>
      <c r="O18" s="1">
        <f>N18*AA18</f>
        <v>0</v>
      </c>
      <c r="P18" s="37"/>
      <c r="Q18" s="37"/>
      <c r="R18" s="37" t="s">
        <v>26</v>
      </c>
      <c r="S18" s="37"/>
      <c r="T18" s="37"/>
      <c r="U18" s="37"/>
      <c r="V18" s="37"/>
      <c r="Y18" s="1" t="s">
        <v>138</v>
      </c>
      <c r="Z18" s="38">
        <f>B18+D18+F18+H18+J18+L18+N18</f>
        <v>13.25</v>
      </c>
      <c r="AA18" s="38">
        <v>3.42</v>
      </c>
      <c r="AB18" s="43">
        <f>Z18*AA18</f>
        <v>45.315</v>
      </c>
      <c r="AD18" s="1">
        <v>5</v>
      </c>
    </row>
    <row r="19" spans="1:30" ht="12.75">
      <c r="A19" s="5">
        <v>42600</v>
      </c>
      <c r="B19" s="1">
        <f>10</f>
        <v>10</v>
      </c>
      <c r="C19" s="1">
        <f>B19*AA19</f>
        <v>34.2</v>
      </c>
      <c r="D19" s="1">
        <f>1.6+3.25+5.75</f>
        <v>10.6</v>
      </c>
      <c r="E19" s="1">
        <f>D19*AA19</f>
        <v>36.251999999999995</v>
      </c>
      <c r="G19" s="1">
        <f>F19*AA19</f>
        <v>0</v>
      </c>
      <c r="H19" s="1">
        <v>2</v>
      </c>
      <c r="I19" s="1">
        <f>H19*AA19</f>
        <v>6.84</v>
      </c>
      <c r="K19" s="1">
        <f>J19*AA19</f>
        <v>0</v>
      </c>
      <c r="L19" s="1">
        <v>4</v>
      </c>
      <c r="M19" s="1">
        <f>L19*AA19</f>
        <v>13.68</v>
      </c>
      <c r="O19" s="1">
        <f>N19*AA19</f>
        <v>0</v>
      </c>
      <c r="P19" s="37"/>
      <c r="Q19" s="37"/>
      <c r="R19" s="37" t="s">
        <v>26</v>
      </c>
      <c r="S19" s="37"/>
      <c r="T19" s="37"/>
      <c r="U19" s="37"/>
      <c r="V19" s="37"/>
      <c r="Y19" s="1" t="s">
        <v>139</v>
      </c>
      <c r="Z19" s="38">
        <f>B19+D19+F19+H19+J19+L19+N19</f>
        <v>26.6</v>
      </c>
      <c r="AA19" s="38">
        <v>3.42</v>
      </c>
      <c r="AB19" s="43">
        <f>Z19*AA19</f>
        <v>90.97200000000001</v>
      </c>
      <c r="AD19" s="1">
        <v>5</v>
      </c>
    </row>
    <row r="20" spans="1:30" ht="12.75">
      <c r="A20" s="5">
        <v>42601</v>
      </c>
      <c r="B20" s="1">
        <f>1.5+1.5+0.5+0.5+2.5+2.5</f>
        <v>9</v>
      </c>
      <c r="C20" s="1">
        <f>B20*AA20</f>
        <v>30.78</v>
      </c>
      <c r="D20" s="1">
        <f>1.2+1.1</f>
        <v>2.3</v>
      </c>
      <c r="E20" s="1">
        <f>D20*AA20</f>
        <v>7.866</v>
      </c>
      <c r="G20" s="1">
        <f>F20*AA20</f>
        <v>0</v>
      </c>
      <c r="I20" s="1">
        <f>H20*AA20</f>
        <v>0</v>
      </c>
      <c r="K20" s="1">
        <f>J20*AA20</f>
        <v>0</v>
      </c>
      <c r="L20" s="1">
        <v>4</v>
      </c>
      <c r="M20" s="1">
        <f>L20*AA20</f>
        <v>13.68</v>
      </c>
      <c r="O20" s="1">
        <f>N20*AA20</f>
        <v>0</v>
      </c>
      <c r="P20" s="37"/>
      <c r="Q20" s="37"/>
      <c r="R20" s="37" t="s">
        <v>26</v>
      </c>
      <c r="S20" s="37"/>
      <c r="T20" s="37"/>
      <c r="U20" s="37"/>
      <c r="V20" s="37"/>
      <c r="X20" s="1">
        <v>1</v>
      </c>
      <c r="Y20" s="1" t="s">
        <v>140</v>
      </c>
      <c r="Z20" s="38">
        <f>B20+D20+F20+H20+J20+L20+N20</f>
        <v>15.3</v>
      </c>
      <c r="AA20" s="38">
        <v>3.42</v>
      </c>
      <c r="AB20" s="43">
        <f>Z20*AA20</f>
        <v>52.326</v>
      </c>
      <c r="AD20" s="1">
        <v>5</v>
      </c>
    </row>
    <row r="21" spans="1:30" ht="12.75">
      <c r="A21" s="5">
        <v>42602</v>
      </c>
      <c r="C21" s="1">
        <f>B21*AA21</f>
        <v>0</v>
      </c>
      <c r="D21" s="1">
        <f>3+2.8+1.85</f>
        <v>7.65</v>
      </c>
      <c r="E21" s="1">
        <f>D21*AA21</f>
        <v>26.163</v>
      </c>
      <c r="G21" s="1">
        <f>F21*AA21</f>
        <v>0</v>
      </c>
      <c r="I21" s="1">
        <f>H21*AA21</f>
        <v>0</v>
      </c>
      <c r="K21" s="1">
        <f>J21*AA21</f>
        <v>0</v>
      </c>
      <c r="L21" s="1">
        <v>4</v>
      </c>
      <c r="M21" s="1">
        <f>L21*AA21</f>
        <v>13.68</v>
      </c>
      <c r="O21" s="1">
        <f>N21*AA21</f>
        <v>0</v>
      </c>
      <c r="P21" s="37"/>
      <c r="Q21" s="37"/>
      <c r="R21" s="37" t="s">
        <v>26</v>
      </c>
      <c r="S21" s="37"/>
      <c r="T21" s="37"/>
      <c r="U21" s="37"/>
      <c r="V21" s="37"/>
      <c r="Y21" s="1" t="s">
        <v>138</v>
      </c>
      <c r="Z21" s="38">
        <f>B21+D21+F21+H21+J21+L21+N21</f>
        <v>11.65</v>
      </c>
      <c r="AA21" s="38">
        <v>3.42</v>
      </c>
      <c r="AB21" s="43">
        <f>Z21*AA21</f>
        <v>39.843</v>
      </c>
      <c r="AD21" s="1">
        <v>5</v>
      </c>
    </row>
    <row r="22" spans="1:30" ht="12.75">
      <c r="A22" s="5">
        <v>42603</v>
      </c>
      <c r="C22" s="1">
        <f>B22*AA22</f>
        <v>0</v>
      </c>
      <c r="D22" s="1">
        <f>7+2.3+2+0.3</f>
        <v>11.600000000000001</v>
      </c>
      <c r="E22" s="1">
        <f>D22*AA22</f>
        <v>39.672000000000004</v>
      </c>
      <c r="G22" s="1">
        <f>F22*AA22</f>
        <v>0</v>
      </c>
      <c r="I22" s="1">
        <f>H22*AA22</f>
        <v>0</v>
      </c>
      <c r="K22" s="1">
        <f>J22*AA22</f>
        <v>0</v>
      </c>
      <c r="L22" s="1">
        <v>4</v>
      </c>
      <c r="M22" s="1">
        <f>L22*AA22</f>
        <v>13.68</v>
      </c>
      <c r="O22" s="1">
        <f>N22*AA22</f>
        <v>0</v>
      </c>
      <c r="P22" s="37"/>
      <c r="Q22" s="37"/>
      <c r="R22" s="37" t="s">
        <v>26</v>
      </c>
      <c r="S22" s="37"/>
      <c r="T22" s="37"/>
      <c r="U22" s="37"/>
      <c r="V22" s="37"/>
      <c r="Y22" s="1" t="s">
        <v>138</v>
      </c>
      <c r="Z22" s="38">
        <f>B22+D22+F22+H22+J22+L22+N22</f>
        <v>15.600000000000001</v>
      </c>
      <c r="AA22" s="38">
        <v>3.42</v>
      </c>
      <c r="AB22" s="43">
        <f>Z22*AA22</f>
        <v>53.352000000000004</v>
      </c>
      <c r="AD22" s="1">
        <v>5</v>
      </c>
    </row>
    <row r="23" spans="1:30" ht="12.75">
      <c r="A23" s="5">
        <v>42604</v>
      </c>
      <c r="C23" s="1">
        <f>B23*AA23</f>
        <v>0</v>
      </c>
      <c r="D23" s="1">
        <f>3+1.9+1+1.9</f>
        <v>7.800000000000001</v>
      </c>
      <c r="E23" s="1">
        <f>D23*AA23</f>
        <v>26.676000000000002</v>
      </c>
      <c r="G23" s="1">
        <f>F23*AA23</f>
        <v>0</v>
      </c>
      <c r="I23" s="1">
        <f>H23*AA23</f>
        <v>0</v>
      </c>
      <c r="K23" s="1">
        <f>J23*AA23</f>
        <v>0</v>
      </c>
      <c r="L23" s="1">
        <v>4</v>
      </c>
      <c r="M23" s="1">
        <f>L23*AA23</f>
        <v>13.68</v>
      </c>
      <c r="O23" s="1">
        <f>N23*AA23</f>
        <v>0</v>
      </c>
      <c r="P23" s="37"/>
      <c r="Q23" s="37"/>
      <c r="R23" s="37" t="s">
        <v>26</v>
      </c>
      <c r="S23" s="37"/>
      <c r="T23" s="37"/>
      <c r="U23" s="37"/>
      <c r="V23" s="37"/>
      <c r="Y23" s="1" t="s">
        <v>138</v>
      </c>
      <c r="Z23" s="38">
        <f>B23+D23+F23+H23+J23+L23+N23</f>
        <v>11.8</v>
      </c>
      <c r="AA23" s="38">
        <v>3.42</v>
      </c>
      <c r="AB23" s="43">
        <f>Z23*AA23</f>
        <v>40.356</v>
      </c>
      <c r="AD23" s="1">
        <v>5</v>
      </c>
    </row>
    <row r="24" spans="1:30" ht="12.75">
      <c r="A24" s="5">
        <v>42605</v>
      </c>
      <c r="C24" s="1">
        <f>B24*AA24</f>
        <v>0</v>
      </c>
      <c r="D24" s="1">
        <f>3.9+3.15</f>
        <v>7.05</v>
      </c>
      <c r="E24" s="1">
        <f>D24*AA24</f>
        <v>24.111</v>
      </c>
      <c r="G24" s="1">
        <f>F24*AA24</f>
        <v>0</v>
      </c>
      <c r="I24" s="1">
        <f>H24*AA24</f>
        <v>0</v>
      </c>
      <c r="K24" s="1">
        <f>J24*AA24</f>
        <v>0</v>
      </c>
      <c r="L24" s="1">
        <v>4</v>
      </c>
      <c r="M24" s="1">
        <f>L24*AA24</f>
        <v>13.68</v>
      </c>
      <c r="O24" s="1">
        <f>N24*AA24</f>
        <v>0</v>
      </c>
      <c r="P24" s="37"/>
      <c r="Q24" s="37"/>
      <c r="R24" s="37" t="s">
        <v>26</v>
      </c>
      <c r="S24" s="37"/>
      <c r="T24" s="37"/>
      <c r="U24" s="37"/>
      <c r="V24" s="37"/>
      <c r="Y24" s="1" t="s">
        <v>138</v>
      </c>
      <c r="Z24" s="38">
        <f>B24+D24+F24+H24+J24+L24+N24</f>
        <v>11.05</v>
      </c>
      <c r="AA24" s="38">
        <v>3.42</v>
      </c>
      <c r="AB24" s="43">
        <f>Z24*AA24</f>
        <v>37.791000000000004</v>
      </c>
      <c r="AD24" s="1">
        <v>5</v>
      </c>
    </row>
    <row r="25" spans="1:30" ht="12.75">
      <c r="A25" s="5">
        <v>42606</v>
      </c>
      <c r="C25" s="1">
        <f>B25*AA25</f>
        <v>0</v>
      </c>
      <c r="D25" s="1">
        <f>1.6+1.65+0.3+1.5+5.75</f>
        <v>10.8</v>
      </c>
      <c r="E25" s="1">
        <f>D25*AA25</f>
        <v>36.936</v>
      </c>
      <c r="G25" s="1">
        <f>F25*AA25</f>
        <v>0</v>
      </c>
      <c r="I25" s="1">
        <f>H25*AA25</f>
        <v>0</v>
      </c>
      <c r="K25" s="1">
        <f>J25*AA25</f>
        <v>0</v>
      </c>
      <c r="L25" s="1">
        <v>4</v>
      </c>
      <c r="M25" s="1">
        <f>L25*AA25</f>
        <v>13.68</v>
      </c>
      <c r="O25" s="1">
        <f>N25*AA25</f>
        <v>0</v>
      </c>
      <c r="P25" s="37"/>
      <c r="Q25" s="37"/>
      <c r="R25" s="37" t="s">
        <v>26</v>
      </c>
      <c r="S25" s="37"/>
      <c r="T25" s="37"/>
      <c r="U25" s="37"/>
      <c r="V25" s="37"/>
      <c r="Y25" s="1" t="s">
        <v>138</v>
      </c>
      <c r="Z25" s="38">
        <f>B25+D25+F25+H25+J25+L25+N25</f>
        <v>14.8</v>
      </c>
      <c r="AA25" s="38">
        <v>3.42</v>
      </c>
      <c r="AB25" s="43">
        <f>Z25*AA25</f>
        <v>50.616</v>
      </c>
      <c r="AD25" s="1">
        <v>5</v>
      </c>
    </row>
    <row r="26" spans="1:30" ht="12.75">
      <c r="A26" s="5">
        <v>42607</v>
      </c>
      <c r="C26" s="1">
        <f>B26*AA26</f>
        <v>0</v>
      </c>
      <c r="D26" s="1">
        <f>8.8+0.9+1.45+0.65</f>
        <v>11.8</v>
      </c>
      <c r="E26" s="1">
        <f>D26*AA26</f>
        <v>40.356</v>
      </c>
      <c r="G26" s="1">
        <f>F26*AA26</f>
        <v>0</v>
      </c>
      <c r="I26" s="1">
        <f>H26*AA26</f>
        <v>0</v>
      </c>
      <c r="J26" s="1">
        <f>2.25</f>
        <v>2.25</v>
      </c>
      <c r="K26" s="1">
        <f>J26*AA26</f>
        <v>7.695</v>
      </c>
      <c r="L26" s="1">
        <v>4</v>
      </c>
      <c r="M26" s="1">
        <f>L26*AA26</f>
        <v>13.68</v>
      </c>
      <c r="O26" s="1">
        <f>N26*AA26</f>
        <v>0</v>
      </c>
      <c r="P26" s="37"/>
      <c r="Q26" s="37"/>
      <c r="R26" s="37" t="s">
        <v>26</v>
      </c>
      <c r="S26" s="37"/>
      <c r="T26" s="37"/>
      <c r="U26" s="37"/>
      <c r="V26" s="37"/>
      <c r="Y26" s="1" t="s">
        <v>138</v>
      </c>
      <c r="Z26" s="38">
        <f>B26+D26+F26+H26+J26+L26+N26</f>
        <v>18.05</v>
      </c>
      <c r="AA26" s="38">
        <v>3.42</v>
      </c>
      <c r="AB26" s="43">
        <f>Z26*AA26</f>
        <v>61.731</v>
      </c>
      <c r="AD26" s="1">
        <v>5</v>
      </c>
    </row>
    <row r="27" spans="1:30" ht="12.75">
      <c r="A27" s="5">
        <v>42608</v>
      </c>
      <c r="B27" s="1">
        <f>4+10+0.6</f>
        <v>14.6</v>
      </c>
      <c r="C27" s="1">
        <f>B27*AA27</f>
        <v>49.931999999999995</v>
      </c>
      <c r="D27" s="1">
        <f>4</f>
        <v>4</v>
      </c>
      <c r="E27" s="1">
        <f>D27*AA27</f>
        <v>13.68</v>
      </c>
      <c r="F27" s="1">
        <v>4</v>
      </c>
      <c r="G27" s="1">
        <f>F27*AA27</f>
        <v>13.68</v>
      </c>
      <c r="I27" s="1">
        <f>H27*AA27</f>
        <v>0</v>
      </c>
      <c r="K27" s="1">
        <f>J27*AA27</f>
        <v>0</v>
      </c>
      <c r="L27" s="1">
        <v>12</v>
      </c>
      <c r="M27" s="1">
        <f>L27*AA27</f>
        <v>41.04</v>
      </c>
      <c r="O27" s="1">
        <f>N27*AA27</f>
        <v>0</v>
      </c>
      <c r="P27" s="37"/>
      <c r="Q27" s="37"/>
      <c r="R27" s="37" t="s">
        <v>26</v>
      </c>
      <c r="S27" s="37"/>
      <c r="T27" s="37"/>
      <c r="U27" s="37"/>
      <c r="V27" s="37"/>
      <c r="X27" s="1">
        <v>1</v>
      </c>
      <c r="Y27" s="1" t="s">
        <v>141</v>
      </c>
      <c r="Z27" s="38">
        <f>B27+D27+F27+H27+J27+L27+N27</f>
        <v>34.6</v>
      </c>
      <c r="AA27" s="38">
        <v>3.42</v>
      </c>
      <c r="AB27" s="43">
        <f>Z27*AA27</f>
        <v>118.33200000000001</v>
      </c>
      <c r="AD27" s="1">
        <v>5</v>
      </c>
    </row>
    <row r="28" spans="1:30" ht="12.75">
      <c r="A28" s="5">
        <v>42609</v>
      </c>
      <c r="C28" s="1">
        <f>B28*AA28</f>
        <v>0</v>
      </c>
      <c r="D28" s="1">
        <v>0.75</v>
      </c>
      <c r="E28" s="1">
        <f>D28*AA28</f>
        <v>2.565</v>
      </c>
      <c r="F28" s="1">
        <f>4+5</f>
        <v>9</v>
      </c>
      <c r="G28" s="1">
        <f>F28*AA28</f>
        <v>30.78</v>
      </c>
      <c r="I28" s="1">
        <f>H28*AA28</f>
        <v>0</v>
      </c>
      <c r="J28" s="1">
        <v>5</v>
      </c>
      <c r="K28" s="1">
        <f>J28*AA28</f>
        <v>17.1</v>
      </c>
      <c r="L28" s="1">
        <v>12</v>
      </c>
      <c r="M28" s="1">
        <f>L28*AA28</f>
        <v>41.04</v>
      </c>
      <c r="N28" s="1">
        <v>320</v>
      </c>
      <c r="O28" s="1">
        <f>N28*AA28</f>
        <v>1094.4</v>
      </c>
      <c r="P28" s="37"/>
      <c r="Q28" s="37"/>
      <c r="R28" s="37" t="s">
        <v>26</v>
      </c>
      <c r="S28" s="37"/>
      <c r="T28" s="37"/>
      <c r="U28" s="37"/>
      <c r="V28" s="37"/>
      <c r="Y28" s="1" t="s">
        <v>142</v>
      </c>
      <c r="Z28" s="38">
        <f>B28+D28+F28+H28+J28+L28+N28</f>
        <v>346.75</v>
      </c>
      <c r="AA28" s="38">
        <v>3.42</v>
      </c>
      <c r="AB28" s="43">
        <f>Z28*AA28</f>
        <v>1185.885</v>
      </c>
      <c r="AD28" s="1">
        <v>5</v>
      </c>
    </row>
    <row r="29" spans="1:30" ht="12.75">
      <c r="A29" s="5">
        <v>42610</v>
      </c>
      <c r="B29" s="1">
        <f>4+1.25+1+0.3</f>
        <v>6.55</v>
      </c>
      <c r="C29" s="1">
        <f>B29*AA29</f>
        <v>22.401</v>
      </c>
      <c r="D29" s="1">
        <f>8.6+2+1.27</f>
        <v>11.87</v>
      </c>
      <c r="E29" s="1">
        <f>D29*AA29</f>
        <v>40.5954</v>
      </c>
      <c r="F29" s="1">
        <v>5</v>
      </c>
      <c r="G29" s="1">
        <f>F29*AA29</f>
        <v>17.1</v>
      </c>
      <c r="I29" s="1">
        <f>H29*AA29</f>
        <v>0</v>
      </c>
      <c r="K29" s="1">
        <f>J29*AA29</f>
        <v>0</v>
      </c>
      <c r="M29" s="1">
        <f>L29*AA29</f>
        <v>0</v>
      </c>
      <c r="O29" s="1">
        <f>N29*AA29</f>
        <v>0</v>
      </c>
      <c r="P29" s="37"/>
      <c r="Q29" s="37"/>
      <c r="R29" s="37" t="s">
        <v>26</v>
      </c>
      <c r="S29" s="37"/>
      <c r="T29" s="37"/>
      <c r="U29" s="37"/>
      <c r="V29" s="37"/>
      <c r="Y29" s="1" t="s">
        <v>143</v>
      </c>
      <c r="Z29" s="38">
        <f>B29+D29+F29+H29+J29+L29+N29</f>
        <v>23.419999999999998</v>
      </c>
      <c r="AA29" s="38">
        <v>3.42</v>
      </c>
      <c r="AB29" s="43">
        <f>Z29*AA29</f>
        <v>80.09639999999999</v>
      </c>
      <c r="AD29" s="1">
        <v>5</v>
      </c>
    </row>
    <row r="30" spans="1:30" ht="12.75">
      <c r="A30" s="5">
        <v>42611</v>
      </c>
      <c r="B30" s="1">
        <v>2</v>
      </c>
      <c r="C30" s="1">
        <f>B30*AA30</f>
        <v>6.84</v>
      </c>
      <c r="D30" s="1">
        <f>1+2.52</f>
        <v>3.52</v>
      </c>
      <c r="E30" s="1">
        <f>D30*AA30</f>
        <v>12.0384</v>
      </c>
      <c r="G30" s="1">
        <f>F30*AA30</f>
        <v>0</v>
      </c>
      <c r="H30" s="1">
        <v>2</v>
      </c>
      <c r="I30" s="1">
        <f>H30*AA30</f>
        <v>6.84</v>
      </c>
      <c r="K30" s="1">
        <f>J30*AA30</f>
        <v>0</v>
      </c>
      <c r="M30" s="1">
        <f>L30*AA30</f>
        <v>0</v>
      </c>
      <c r="O30" s="1">
        <f>N30*AA30</f>
        <v>0</v>
      </c>
      <c r="P30" s="37"/>
      <c r="Q30" s="37"/>
      <c r="R30" s="37" t="s">
        <v>26</v>
      </c>
      <c r="S30" s="37"/>
      <c r="T30" s="37"/>
      <c r="U30" s="37"/>
      <c r="V30" s="37"/>
      <c r="Y30" s="1" t="s">
        <v>144</v>
      </c>
      <c r="Z30" s="38">
        <f>B30+D30+F30+H30+J30+L30+N30</f>
        <v>7.52</v>
      </c>
      <c r="AA30" s="38">
        <v>3.42</v>
      </c>
      <c r="AB30" s="43">
        <f>Z30*AA30</f>
        <v>25.7184</v>
      </c>
      <c r="AD30" s="1">
        <v>5</v>
      </c>
    </row>
    <row r="31" spans="1:30" ht="12.75">
      <c r="A31" s="5">
        <v>42612</v>
      </c>
      <c r="B31" s="1">
        <f>1+1</f>
        <v>2</v>
      </c>
      <c r="C31" s="1">
        <f>B31*AA31</f>
        <v>6.84</v>
      </c>
      <c r="D31" s="1">
        <f>1+12.26</f>
        <v>13.26</v>
      </c>
      <c r="E31" s="1">
        <f>D31*AA31</f>
        <v>45.349199999999996</v>
      </c>
      <c r="G31" s="1">
        <f>F31*AA31</f>
        <v>0</v>
      </c>
      <c r="I31" s="1">
        <f>H31*AA31</f>
        <v>0</v>
      </c>
      <c r="K31" s="1">
        <f>J31*AA31</f>
        <v>0</v>
      </c>
      <c r="M31" s="1">
        <f>L31*AA31</f>
        <v>0</v>
      </c>
      <c r="O31" s="1">
        <f>N31*AA31</f>
        <v>0</v>
      </c>
      <c r="P31" s="37"/>
      <c r="Q31" s="37"/>
      <c r="R31" s="37" t="s">
        <v>26</v>
      </c>
      <c r="S31" s="37"/>
      <c r="T31" s="37"/>
      <c r="U31" s="37"/>
      <c r="V31" s="37"/>
      <c r="Y31" s="1" t="s">
        <v>144</v>
      </c>
      <c r="Z31" s="38">
        <f>B31+D31+F31+H31+J31+L31+N31</f>
        <v>15.26</v>
      </c>
      <c r="AA31" s="38">
        <v>3.42</v>
      </c>
      <c r="AB31" s="43">
        <f>Z31*AA31</f>
        <v>52.1892</v>
      </c>
      <c r="AD31" s="1">
        <v>5</v>
      </c>
    </row>
    <row r="32" spans="1:30" ht="12.75">
      <c r="A32" s="5">
        <v>42613</v>
      </c>
      <c r="C32" s="1">
        <f>B32*AA32</f>
        <v>0</v>
      </c>
      <c r="D32" s="1">
        <v>2.62</v>
      </c>
      <c r="E32" s="1">
        <f>D32*AA32</f>
        <v>8.9604</v>
      </c>
      <c r="G32" s="1">
        <f>F32*AA32</f>
        <v>0</v>
      </c>
      <c r="I32" s="1">
        <f>H32*AA32</f>
        <v>0</v>
      </c>
      <c r="K32" s="1">
        <f>J32*AA32</f>
        <v>0</v>
      </c>
      <c r="M32" s="1">
        <f>L32*AA32</f>
        <v>0</v>
      </c>
      <c r="O32" s="1">
        <f>N32*AA32</f>
        <v>0</v>
      </c>
      <c r="P32" s="37"/>
      <c r="Q32" s="37"/>
      <c r="R32" s="37" t="s">
        <v>26</v>
      </c>
      <c r="S32" s="37"/>
      <c r="T32" s="37"/>
      <c r="U32" s="37"/>
      <c r="V32" s="37"/>
      <c r="Y32" s="1" t="s">
        <v>144</v>
      </c>
      <c r="Z32" s="38">
        <f>B32+D32+F32+H32+J32+L32+N32</f>
        <v>2.62</v>
      </c>
      <c r="AA32" s="38">
        <v>3.42</v>
      </c>
      <c r="AB32" s="43">
        <f>Z32*AA32</f>
        <v>8.9604</v>
      </c>
      <c r="AD32" s="1">
        <v>5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v>3.42</v>
      </c>
      <c r="AB33" s="2">
        <f>Z33*AA33</f>
        <v>0</v>
      </c>
      <c r="AD33" s="1">
        <v>5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v>3.42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v>3.42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Z1">
      <selection activeCell="AS30" sqref="AS30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11.140625" style="1" customWidth="1"/>
    <col min="15" max="15" width="15.28125" style="1" customWidth="1"/>
    <col min="16" max="16" width="9.140625" style="1" customWidth="1"/>
    <col min="17" max="17" width="18.14062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7.574218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5.8515625" style="1" customWidth="1"/>
    <col min="39" max="39" width="11.57421875" style="1" customWidth="1"/>
    <col min="40" max="40" width="2.57421875" style="1" customWidth="1"/>
    <col min="41" max="41" width="15.00390625" style="1" customWidth="1"/>
    <col min="42" max="42" width="11.57421875" style="1" customWidth="1"/>
    <col min="43" max="43" width="2.8515625" style="1" customWidth="1"/>
    <col min="44" max="44" width="15.7109375" style="1" customWidth="1"/>
    <col min="45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1" t="s">
        <v>21</v>
      </c>
      <c r="Z1" s="38" t="s">
        <v>22</v>
      </c>
      <c r="AA1" s="38" t="s">
        <v>23</v>
      </c>
      <c r="AB1" s="39" t="s">
        <v>24</v>
      </c>
      <c r="AD1" s="1" t="s">
        <v>25</v>
      </c>
    </row>
    <row r="2" spans="1:45" ht="12.75">
      <c r="A2" s="5">
        <v>42614</v>
      </c>
      <c r="C2" s="1">
        <f>B2*AA2</f>
        <v>0</v>
      </c>
      <c r="D2" s="1">
        <f>4.08</f>
        <v>4.08</v>
      </c>
      <c r="E2" s="1">
        <f>D2*AA2</f>
        <v>13.9536</v>
      </c>
      <c r="G2" s="1">
        <f>F2*AA2</f>
        <v>0</v>
      </c>
      <c r="I2" s="1">
        <f>H2*AA2</f>
        <v>0</v>
      </c>
      <c r="K2" s="1">
        <f>J2*AA2</f>
        <v>0</v>
      </c>
      <c r="M2" s="1">
        <f>L2*AA2</f>
        <v>0</v>
      </c>
      <c r="O2" s="1">
        <f>N2*AA2</f>
        <v>0</v>
      </c>
      <c r="P2" s="37"/>
      <c r="Q2" s="37"/>
      <c r="R2" s="37" t="s">
        <v>26</v>
      </c>
      <c r="S2" s="37"/>
      <c r="T2" s="37"/>
      <c r="U2" s="37"/>
      <c r="V2" s="37"/>
      <c r="W2" s="37"/>
      <c r="Y2" s="1" t="s">
        <v>144</v>
      </c>
      <c r="Z2" s="38">
        <f>B2+D2+F2+H2+J2+L2+N2</f>
        <v>4.08</v>
      </c>
      <c r="AA2" s="38">
        <v>3.42</v>
      </c>
      <c r="AB2" s="43">
        <f>Z2*AA2</f>
        <v>13.9536</v>
      </c>
      <c r="AD2" s="1">
        <v>5</v>
      </c>
      <c r="AF2" s="44" t="s">
        <v>28</v>
      </c>
      <c r="AG2" s="44">
        <f>SUM(AB2:AB994)</f>
        <v>1965.5693448731836</v>
      </c>
      <c r="AH2" s="44"/>
      <c r="AI2" s="44" t="s">
        <v>29</v>
      </c>
      <c r="AJ2" s="58">
        <f>AG2/AG5</f>
        <v>65.51897816243945</v>
      </c>
      <c r="AL2" s="44" t="s">
        <v>93</v>
      </c>
      <c r="AM2" s="44">
        <f>COUNTBLANK(L2:L40)-COUNTBLANK(A2:A40)</f>
        <v>18</v>
      </c>
      <c r="AN2" s="7"/>
      <c r="AO2" s="59" t="s">
        <v>313</v>
      </c>
      <c r="AP2" s="59">
        <f>SUMIF(AD2:AD44,"=5",AB2:AB44)</f>
        <v>934.5534</v>
      </c>
      <c r="AQ2" s="7"/>
      <c r="AR2" s="59" t="s">
        <v>318</v>
      </c>
      <c r="AS2" s="59">
        <f>SUMIF(AD2:AD44,"=6",AB2:AB44)</f>
        <v>1031.0159448731843</v>
      </c>
    </row>
    <row r="3" spans="1:45" ht="12.75">
      <c r="A3" s="5">
        <v>42615</v>
      </c>
      <c r="B3" s="1">
        <f>1+1+0.5</f>
        <v>2.5</v>
      </c>
      <c r="C3" s="1">
        <f>B3*AA3</f>
        <v>8.55</v>
      </c>
      <c r="D3" s="1">
        <f>1+4.62</f>
        <v>5.62</v>
      </c>
      <c r="E3" s="1">
        <f>D3*AA3</f>
        <v>19.2204</v>
      </c>
      <c r="G3" s="1">
        <f>F3*AA3</f>
        <v>0</v>
      </c>
      <c r="H3" s="1">
        <f>3+7</f>
        <v>10</v>
      </c>
      <c r="I3" s="1">
        <f>H3*AA3</f>
        <v>34.2</v>
      </c>
      <c r="K3" s="1">
        <f>J3*AA3</f>
        <v>0</v>
      </c>
      <c r="M3" s="1">
        <f>L3*AA3</f>
        <v>0</v>
      </c>
      <c r="O3" s="1">
        <f>N3*AA3</f>
        <v>0</v>
      </c>
      <c r="P3" s="37"/>
      <c r="Q3" s="37"/>
      <c r="R3" s="37" t="s">
        <v>26</v>
      </c>
      <c r="S3" s="37"/>
      <c r="T3" s="37"/>
      <c r="U3" s="37"/>
      <c r="V3" s="37"/>
      <c r="W3" s="37"/>
      <c r="Y3" s="1" t="s">
        <v>144</v>
      </c>
      <c r="Z3" s="38">
        <f>B3+D3+F3+H3+J3+L3+N3</f>
        <v>18.12</v>
      </c>
      <c r="AA3" s="38">
        <v>3.42</v>
      </c>
      <c r="AB3" s="43">
        <f>Z3*AA3</f>
        <v>61.970400000000005</v>
      </c>
      <c r="AD3" s="1">
        <v>5</v>
      </c>
      <c r="AF3" s="49"/>
      <c r="AG3" s="44"/>
      <c r="AH3" s="44"/>
      <c r="AI3" s="49"/>
      <c r="AJ3" s="45"/>
      <c r="AL3" s="44" t="s">
        <v>95</v>
      </c>
      <c r="AM3" s="44">
        <f>COUNT(L2:L36)</f>
        <v>12</v>
      </c>
      <c r="AO3" s="59" t="s">
        <v>314</v>
      </c>
      <c r="AP3" s="59">
        <f>_xlfn.COUNTIFS(A2:A44,"&lt;&gt;''",AD2:AD44,"=5")</f>
        <v>17</v>
      </c>
      <c r="AQ3" s="7"/>
      <c r="AR3" s="59" t="s">
        <v>319</v>
      </c>
      <c r="AS3" s="59">
        <f>_xlfn.COUNTIFS(A2:A44,"&lt;&gt;''",AD2:AD44,"=6")</f>
        <v>13</v>
      </c>
    </row>
    <row r="4" spans="1:45" ht="12.75">
      <c r="A4" s="5">
        <v>42616</v>
      </c>
      <c r="C4" s="1">
        <f>B4*AA4</f>
        <v>0</v>
      </c>
      <c r="D4" s="1">
        <f>4.17+0.65+1.2+0.9</f>
        <v>6.920000000000001</v>
      </c>
      <c r="E4" s="1">
        <f>D4*AA4</f>
        <v>23.666400000000003</v>
      </c>
      <c r="G4" s="1">
        <f>F4*AA4</f>
        <v>0</v>
      </c>
      <c r="I4" s="1">
        <f>H4*AA4</f>
        <v>0</v>
      </c>
      <c r="K4" s="1">
        <f>J4*AA4</f>
        <v>0</v>
      </c>
      <c r="M4" s="1">
        <f>L4*AA4</f>
        <v>0</v>
      </c>
      <c r="O4" s="1">
        <f>N4*AA4</f>
        <v>0</v>
      </c>
      <c r="P4" s="37"/>
      <c r="Q4" s="37"/>
      <c r="R4" s="37" t="s">
        <v>26</v>
      </c>
      <c r="S4" s="37"/>
      <c r="T4" s="37"/>
      <c r="U4" s="37"/>
      <c r="V4" s="37"/>
      <c r="W4" s="37"/>
      <c r="Y4" s="1" t="s">
        <v>144</v>
      </c>
      <c r="Z4" s="38">
        <f>B4+D4+F4+H4+J4+L4+N4</f>
        <v>6.920000000000001</v>
      </c>
      <c r="AA4" s="38">
        <v>3.42</v>
      </c>
      <c r="AB4" s="43">
        <f>Z4*AA4</f>
        <v>23.666400000000003</v>
      </c>
      <c r="AD4" s="1">
        <v>5</v>
      </c>
      <c r="AF4" s="44"/>
      <c r="AG4" s="44"/>
      <c r="AH4" s="44"/>
      <c r="AI4" s="44"/>
      <c r="AJ4" s="44"/>
      <c r="AL4" s="44" t="s">
        <v>218</v>
      </c>
      <c r="AM4" s="44">
        <f>COUNTA(U2:U49)</f>
        <v>0</v>
      </c>
      <c r="AO4" s="59" t="s">
        <v>315</v>
      </c>
      <c r="AP4" s="59">
        <f>AP2/AP3</f>
        <v>54.97372941176471</v>
      </c>
      <c r="AQ4" s="7"/>
      <c r="AR4" s="59" t="s">
        <v>320</v>
      </c>
      <c r="AS4" s="59">
        <f>AS2/AS3</f>
        <v>79.30891883639879</v>
      </c>
    </row>
    <row r="5" spans="1:39" ht="12.75">
      <c r="A5" s="5">
        <v>42617</v>
      </c>
      <c r="C5" s="1">
        <f>B5*AA5</f>
        <v>0</v>
      </c>
      <c r="D5" s="1">
        <f>1.55+4.14</f>
        <v>5.6899999999999995</v>
      </c>
      <c r="E5" s="1">
        <f>D5*AA5</f>
        <v>19.459799999999998</v>
      </c>
      <c r="G5" s="1">
        <f>F5*AA5</f>
        <v>0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P5" s="37"/>
      <c r="Q5" s="37"/>
      <c r="R5" s="37" t="s">
        <v>26</v>
      </c>
      <c r="S5" s="37"/>
      <c r="T5" s="37"/>
      <c r="U5" s="37"/>
      <c r="V5" s="37"/>
      <c r="W5" s="37"/>
      <c r="Y5" s="1" t="s">
        <v>144</v>
      </c>
      <c r="Z5" s="38">
        <f>B5+D5+F5+H5+J5+L5+N5</f>
        <v>5.6899999999999995</v>
      </c>
      <c r="AA5" s="38">
        <v>3.42</v>
      </c>
      <c r="AB5" s="43">
        <f>Z5*AA5</f>
        <v>19.459799999999998</v>
      </c>
      <c r="AD5" s="1">
        <v>5</v>
      </c>
      <c r="AF5" s="44" t="s">
        <v>42</v>
      </c>
      <c r="AG5" s="44">
        <f>COUNTA(A2:A349)</f>
        <v>30</v>
      </c>
      <c r="AH5" s="44"/>
      <c r="AI5" s="44"/>
      <c r="AJ5" s="44"/>
      <c r="AL5" s="44" t="s">
        <v>264</v>
      </c>
      <c r="AM5" s="44">
        <f>COUNTA(P2:P49)</f>
        <v>0</v>
      </c>
    </row>
    <row r="6" spans="1:39" ht="12.75">
      <c r="A6" s="5">
        <v>42618</v>
      </c>
      <c r="B6" s="1">
        <f>2.2+3+0.9</f>
        <v>6.1000000000000005</v>
      </c>
      <c r="C6" s="1">
        <f>B6*AA6</f>
        <v>20.862000000000002</v>
      </c>
      <c r="D6" s="1">
        <f>2.71+1</f>
        <v>3.71</v>
      </c>
      <c r="E6" s="1">
        <f>D6*AA6</f>
        <v>12.6882</v>
      </c>
      <c r="F6" s="1">
        <v>4.5</v>
      </c>
      <c r="G6" s="1">
        <f>F6*AA6</f>
        <v>15.39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P6" s="37"/>
      <c r="Q6" s="37"/>
      <c r="R6" s="37" t="s">
        <v>26</v>
      </c>
      <c r="S6" s="37"/>
      <c r="T6" s="37"/>
      <c r="U6" s="37"/>
      <c r="V6" s="37"/>
      <c r="W6" s="37"/>
      <c r="Y6" s="1" t="s">
        <v>145</v>
      </c>
      <c r="Z6" s="38">
        <f>B6+D6+F6+H6+J6+L6+N6</f>
        <v>14.31</v>
      </c>
      <c r="AA6" s="38">
        <v>3.42</v>
      </c>
      <c r="AB6" s="43">
        <f>Z6*AA6</f>
        <v>48.9402</v>
      </c>
      <c r="AD6" s="1">
        <v>5</v>
      </c>
      <c r="AF6" s="49"/>
      <c r="AG6" s="44"/>
      <c r="AH6" s="44"/>
      <c r="AI6" s="44"/>
      <c r="AJ6" s="44"/>
      <c r="AL6" s="44" t="s">
        <v>265</v>
      </c>
      <c r="AM6" s="44">
        <f>COUNTA(R2:R49)</f>
        <v>29</v>
      </c>
    </row>
    <row r="7" spans="1:39" ht="12.75">
      <c r="A7" s="5">
        <v>42619</v>
      </c>
      <c r="B7" s="1">
        <f>5+5</f>
        <v>10</v>
      </c>
      <c r="C7" s="1">
        <f>B7*AA7</f>
        <v>34.2</v>
      </c>
      <c r="D7" s="1">
        <f>1.3+0.5+3.82</f>
        <v>5.62</v>
      </c>
      <c r="E7" s="1">
        <f>D7*AA7</f>
        <v>19.2204</v>
      </c>
      <c r="F7" s="1">
        <v>4</v>
      </c>
      <c r="G7" s="1">
        <f>F7*AA7</f>
        <v>13.68</v>
      </c>
      <c r="H7" s="1">
        <v>4</v>
      </c>
      <c r="I7" s="1">
        <f>H7*AA7</f>
        <v>13.68</v>
      </c>
      <c r="K7" s="1">
        <f>J7*AA7</f>
        <v>0</v>
      </c>
      <c r="M7" s="1">
        <f>L7*AA7</f>
        <v>0</v>
      </c>
      <c r="O7" s="1">
        <f>N7*AA7</f>
        <v>0</v>
      </c>
      <c r="P7" s="37"/>
      <c r="Q7" s="37"/>
      <c r="R7" s="37" t="s">
        <v>26</v>
      </c>
      <c r="S7" s="37"/>
      <c r="T7" s="37"/>
      <c r="U7" s="37"/>
      <c r="V7" s="37"/>
      <c r="W7" s="37"/>
      <c r="Y7" s="1" t="s">
        <v>146</v>
      </c>
      <c r="Z7" s="38">
        <f>B7+D7+F7+H7+J7+L7+N7</f>
        <v>23.62</v>
      </c>
      <c r="AA7" s="38">
        <v>3.42</v>
      </c>
      <c r="AB7" s="43">
        <f>Z7*AA7</f>
        <v>80.7804</v>
      </c>
      <c r="AD7" s="1">
        <v>5</v>
      </c>
      <c r="AF7" s="44"/>
      <c r="AG7" s="44"/>
      <c r="AH7" s="44"/>
      <c r="AI7" s="44" t="s">
        <v>46</v>
      </c>
      <c r="AJ7" s="44"/>
      <c r="AL7" s="44" t="s">
        <v>16</v>
      </c>
      <c r="AM7" s="44">
        <f>COUNTA(S2:S49)</f>
        <v>0</v>
      </c>
    </row>
    <row r="8" spans="1:39" ht="12.75">
      <c r="A8" s="5">
        <v>42620</v>
      </c>
      <c r="C8" s="1">
        <f>B8*AA8</f>
        <v>0</v>
      </c>
      <c r="D8" s="1">
        <f>2.45+0.5</f>
        <v>2.95</v>
      </c>
      <c r="E8" s="1">
        <f>D8*AA8</f>
        <v>10.089</v>
      </c>
      <c r="F8" s="1">
        <v>4</v>
      </c>
      <c r="G8" s="1">
        <f>F8*AA8</f>
        <v>13.68</v>
      </c>
      <c r="I8" s="1">
        <f>H8*AA8</f>
        <v>0</v>
      </c>
      <c r="K8" s="1">
        <f>J8*AA8</f>
        <v>0</v>
      </c>
      <c r="M8" s="1">
        <f>L8*AA8</f>
        <v>0</v>
      </c>
      <c r="O8" s="1">
        <f>N8*AA8</f>
        <v>0</v>
      </c>
      <c r="P8" s="37"/>
      <c r="Q8" s="37"/>
      <c r="R8" s="37" t="s">
        <v>26</v>
      </c>
      <c r="S8" s="37"/>
      <c r="T8" s="37"/>
      <c r="U8" s="37"/>
      <c r="V8" s="37"/>
      <c r="W8" s="37"/>
      <c r="Y8" s="1" t="s">
        <v>146</v>
      </c>
      <c r="Z8" s="38">
        <f>B8+D8+F8+H8+J8+L8+N8</f>
        <v>6.95</v>
      </c>
      <c r="AA8" s="38">
        <v>3.42</v>
      </c>
      <c r="AB8" s="43">
        <f>Z8*AA8</f>
        <v>23.769</v>
      </c>
      <c r="AD8" s="1">
        <v>5</v>
      </c>
      <c r="AF8" s="44" t="s">
        <v>48</v>
      </c>
      <c r="AG8" s="54">
        <f>SUM(M2:M994)</f>
        <v>477.67287714428255</v>
      </c>
      <c r="AH8" s="44"/>
      <c r="AI8" s="44" t="s">
        <v>11</v>
      </c>
      <c r="AJ8" s="54">
        <f>AG8/$AG$5</f>
        <v>15.922429238142751</v>
      </c>
      <c r="AL8" s="44" t="s">
        <v>269</v>
      </c>
      <c r="AM8" s="44">
        <f>COUNTA(Q2:Q49)</f>
        <v>0</v>
      </c>
    </row>
    <row r="9" spans="1:38" ht="12.75">
      <c r="A9" s="5">
        <v>42621</v>
      </c>
      <c r="B9" s="1">
        <f>4.3+0.6</f>
        <v>4.9</v>
      </c>
      <c r="C9" s="1">
        <f>B9*AA9</f>
        <v>16.758</v>
      </c>
      <c r="D9" s="1">
        <v>4.46</v>
      </c>
      <c r="E9" s="1">
        <f>D9*AA9</f>
        <v>15.2532</v>
      </c>
      <c r="G9" s="1">
        <f>F9*AA9</f>
        <v>0</v>
      </c>
      <c r="I9" s="1">
        <f>H9*AA9</f>
        <v>0</v>
      </c>
      <c r="J9" s="1">
        <v>3.5</v>
      </c>
      <c r="K9" s="1">
        <f>J9*AA9</f>
        <v>11.969999999999999</v>
      </c>
      <c r="L9" s="1">
        <v>15</v>
      </c>
      <c r="M9" s="1">
        <f>L9*AA9</f>
        <v>51.3</v>
      </c>
      <c r="O9" s="1">
        <f>N9*AA9</f>
        <v>0</v>
      </c>
      <c r="P9" s="37"/>
      <c r="Q9" s="37"/>
      <c r="R9" s="37" t="s">
        <v>26</v>
      </c>
      <c r="S9" s="37"/>
      <c r="T9" s="37"/>
      <c r="U9" s="37"/>
      <c r="V9" s="37"/>
      <c r="W9" s="37"/>
      <c r="Y9" s="1" t="s">
        <v>147</v>
      </c>
      <c r="Z9" s="38">
        <f>B9+D9+F9+H9+J9+L9+N9</f>
        <v>27.86</v>
      </c>
      <c r="AA9" s="38">
        <v>3.42</v>
      </c>
      <c r="AB9" s="43">
        <f>Z9*AA9</f>
        <v>95.2812</v>
      </c>
      <c r="AD9" s="1">
        <v>5</v>
      </c>
      <c r="AF9" s="44" t="s">
        <v>50</v>
      </c>
      <c r="AG9" s="54">
        <f>SUM(C2:C994)</f>
        <v>412.6463656213052</v>
      </c>
      <c r="AH9" s="44"/>
      <c r="AI9" s="44" t="s">
        <v>1</v>
      </c>
      <c r="AJ9" s="44">
        <f>AG9/$AG$5</f>
        <v>13.754878854043508</v>
      </c>
      <c r="AL9" s="8"/>
    </row>
    <row r="10" spans="1:36" ht="12.75">
      <c r="A10" s="5">
        <v>42622</v>
      </c>
      <c r="C10" s="1">
        <f>B10*AA10</f>
        <v>0</v>
      </c>
      <c r="D10" s="1">
        <v>7.52</v>
      </c>
      <c r="E10" s="1">
        <f>D10*AA10</f>
        <v>25.7184</v>
      </c>
      <c r="G10" s="1">
        <f>F10*AA10</f>
        <v>0</v>
      </c>
      <c r="I10" s="1">
        <f>H10*AA10</f>
        <v>0</v>
      </c>
      <c r="K10" s="1">
        <f>J10*AA10</f>
        <v>0</v>
      </c>
      <c r="L10" s="1">
        <v>15</v>
      </c>
      <c r="M10" s="1">
        <f>L10*AA10</f>
        <v>51.3</v>
      </c>
      <c r="O10" s="1">
        <f>N10*AA10</f>
        <v>0</v>
      </c>
      <c r="P10" s="37"/>
      <c r="Q10" s="37"/>
      <c r="R10" s="37" t="s">
        <v>26</v>
      </c>
      <c r="S10" s="37"/>
      <c r="T10" s="37"/>
      <c r="U10" s="37"/>
      <c r="V10" s="37"/>
      <c r="W10" s="37"/>
      <c r="Y10" s="1" t="s">
        <v>148</v>
      </c>
      <c r="Z10" s="38">
        <f>B10+D10+F10+H10+J10+L10+N10</f>
        <v>22.52</v>
      </c>
      <c r="AA10" s="38">
        <v>3.42</v>
      </c>
      <c r="AB10" s="43">
        <f>Z10*AA10</f>
        <v>77.0184</v>
      </c>
      <c r="AD10" s="1">
        <v>5</v>
      </c>
      <c r="AF10" s="44" t="s">
        <v>51</v>
      </c>
      <c r="AG10" s="54">
        <f>SUM(E2:E994)</f>
        <v>506.70926472896195</v>
      </c>
      <c r="AH10" s="44"/>
      <c r="AI10" s="44" t="s">
        <v>52</v>
      </c>
      <c r="AJ10" s="44">
        <f>AG10/$AG$5</f>
        <v>16.89030882429873</v>
      </c>
    </row>
    <row r="11" spans="1:36" ht="12.75">
      <c r="A11" s="5">
        <v>42623</v>
      </c>
      <c r="B11" s="1">
        <v>0.5</v>
      </c>
      <c r="C11" s="1">
        <f>B11*AA11</f>
        <v>1.71</v>
      </c>
      <c r="D11" s="1">
        <f>6.6+1.35</f>
        <v>7.949999999999999</v>
      </c>
      <c r="E11" s="1">
        <f>D11*AA11</f>
        <v>27.188999999999997</v>
      </c>
      <c r="F11" s="1">
        <v>5</v>
      </c>
      <c r="G11" s="1">
        <f>F11*AA11</f>
        <v>17.1</v>
      </c>
      <c r="I11" s="1">
        <f>H11*AA11</f>
        <v>0</v>
      </c>
      <c r="J11" s="1">
        <v>3</v>
      </c>
      <c r="K11" s="1">
        <f>J11*AA11</f>
        <v>10.26</v>
      </c>
      <c r="L11" s="1">
        <v>15</v>
      </c>
      <c r="M11" s="1">
        <f>L11*AA11</f>
        <v>51.3</v>
      </c>
      <c r="O11" s="1">
        <f>N11*AA11</f>
        <v>0</v>
      </c>
      <c r="P11" s="37"/>
      <c r="Q11" s="37"/>
      <c r="R11" s="37" t="s">
        <v>26</v>
      </c>
      <c r="S11" s="37"/>
      <c r="T11" s="37"/>
      <c r="U11" s="37"/>
      <c r="V11" s="37"/>
      <c r="W11" s="37"/>
      <c r="Y11" s="1" t="s">
        <v>148</v>
      </c>
      <c r="Z11" s="38">
        <f>B11+D11+F11+H11+J11+L11+N11</f>
        <v>31.45</v>
      </c>
      <c r="AA11" s="38">
        <v>3.42</v>
      </c>
      <c r="AB11" s="43">
        <f>Z11*AA11</f>
        <v>107.559</v>
      </c>
      <c r="AD11" s="1">
        <v>5</v>
      </c>
      <c r="AF11" s="44" t="s">
        <v>54</v>
      </c>
      <c r="AG11" s="54">
        <f>SUM(G2:G994)</f>
        <v>279.53042900234095</v>
      </c>
      <c r="AH11" s="44"/>
      <c r="AI11" s="44" t="s">
        <v>55</v>
      </c>
      <c r="AJ11" s="54">
        <f>AG11/$AG$5</f>
        <v>9.317680966744698</v>
      </c>
    </row>
    <row r="12" spans="1:36" ht="12.75">
      <c r="A12" s="5">
        <v>42624</v>
      </c>
      <c r="C12" s="1">
        <f>B12*AA12</f>
        <v>0</v>
      </c>
      <c r="E12" s="1">
        <f>D12*AA12</f>
        <v>0</v>
      </c>
      <c r="F12" s="1">
        <v>6.98</v>
      </c>
      <c r="G12" s="1">
        <f>F12*AA12</f>
        <v>23.8716</v>
      </c>
      <c r="I12" s="1">
        <f>H12*AA12</f>
        <v>0</v>
      </c>
      <c r="K12" s="1">
        <f>J12*AA12</f>
        <v>0</v>
      </c>
      <c r="M12" s="1">
        <f>L12*AA12</f>
        <v>0</v>
      </c>
      <c r="O12" s="1">
        <f>N12*AA12</f>
        <v>0</v>
      </c>
      <c r="P12" s="37"/>
      <c r="Q12" s="37"/>
      <c r="R12" s="37" t="s">
        <v>26</v>
      </c>
      <c r="S12" s="37"/>
      <c r="T12" s="37"/>
      <c r="U12" s="37"/>
      <c r="V12" s="37"/>
      <c r="W12" s="37"/>
      <c r="Y12" s="1" t="s">
        <v>148</v>
      </c>
      <c r="Z12" s="38">
        <f>B12+D12+F12+H12+J12+L12+N12</f>
        <v>6.98</v>
      </c>
      <c r="AA12" s="38">
        <v>3.42</v>
      </c>
      <c r="AB12" s="43">
        <f>Z12*AA12</f>
        <v>23.8716</v>
      </c>
      <c r="AD12" s="1">
        <v>5</v>
      </c>
      <c r="AF12" s="44" t="s">
        <v>57</v>
      </c>
      <c r="AG12" s="54">
        <f>SUM(K2:K994)</f>
        <v>165.5318463408082</v>
      </c>
      <c r="AH12" s="44"/>
      <c r="AI12" s="44" t="s">
        <v>9</v>
      </c>
      <c r="AJ12" s="54">
        <f>AG12/$AG$5</f>
        <v>5.517728211360273</v>
      </c>
    </row>
    <row r="13" spans="1:36" ht="12.75">
      <c r="A13" s="5">
        <v>42625</v>
      </c>
      <c r="C13" s="1">
        <f>B13*AA13</f>
        <v>0</v>
      </c>
      <c r="D13" s="1">
        <f>2.24+3.37+0.5</f>
        <v>6.11</v>
      </c>
      <c r="E13" s="1">
        <f>D13*AA13</f>
        <v>21.323900000000002</v>
      </c>
      <c r="F13" s="1">
        <v>5</v>
      </c>
      <c r="G13" s="1">
        <f>F13*AA13</f>
        <v>17.450000000000003</v>
      </c>
      <c r="I13" s="1">
        <f>H13*AA13</f>
        <v>0</v>
      </c>
      <c r="K13" s="1">
        <f>J13*AA13</f>
        <v>0</v>
      </c>
      <c r="M13" s="1">
        <f>L13*AA13</f>
        <v>0</v>
      </c>
      <c r="O13" s="1">
        <f>N13*AA13</f>
        <v>0</v>
      </c>
      <c r="P13" s="37"/>
      <c r="Q13" s="37"/>
      <c r="R13" s="37" t="s">
        <v>26</v>
      </c>
      <c r="S13" s="37"/>
      <c r="T13" s="37"/>
      <c r="U13" s="37"/>
      <c r="V13" s="37"/>
      <c r="W13" s="37"/>
      <c r="Y13" s="1" t="s">
        <v>148</v>
      </c>
      <c r="Z13" s="38">
        <f>B13+D13+F13+H13+J13+L13+N13</f>
        <v>11.11</v>
      </c>
      <c r="AA13" s="38">
        <v>3.49</v>
      </c>
      <c r="AB13" s="43">
        <f>Z13*AA13</f>
        <v>38.7739</v>
      </c>
      <c r="AD13" s="1">
        <v>5</v>
      </c>
      <c r="AF13" s="44" t="s">
        <v>58</v>
      </c>
      <c r="AG13" s="44">
        <f>SUM(I2:I994)</f>
        <v>123.4785620354854</v>
      </c>
      <c r="AH13" s="44"/>
      <c r="AI13" s="44" t="s">
        <v>7</v>
      </c>
      <c r="AJ13" s="54">
        <f>AG13/$AG$5</f>
        <v>4.115952067849514</v>
      </c>
    </row>
    <row r="14" spans="1:30" ht="12.75">
      <c r="A14" s="5">
        <v>42626</v>
      </c>
      <c r="C14" s="1">
        <f>B14*AA14</f>
        <v>0</v>
      </c>
      <c r="D14" s="1">
        <f>1.5+3.05</f>
        <v>4.55</v>
      </c>
      <c r="E14" s="1">
        <f>D14*AA14</f>
        <v>15.8795</v>
      </c>
      <c r="F14" s="1">
        <f>6.98</f>
        <v>6.98</v>
      </c>
      <c r="G14" s="1">
        <f>F14*AA14</f>
        <v>24.360200000000003</v>
      </c>
      <c r="I14" s="1">
        <f>H14*AA14</f>
        <v>0</v>
      </c>
      <c r="J14" s="1">
        <v>3</v>
      </c>
      <c r="K14" s="1">
        <f>J14*AA14</f>
        <v>10.47</v>
      </c>
      <c r="M14" s="1">
        <f>L14*AA14</f>
        <v>0</v>
      </c>
      <c r="O14" s="1">
        <f>N14*AA14</f>
        <v>0</v>
      </c>
      <c r="P14" s="37"/>
      <c r="Q14" s="37"/>
      <c r="R14" s="37" t="s">
        <v>26</v>
      </c>
      <c r="S14" s="37"/>
      <c r="T14" s="37"/>
      <c r="U14" s="37"/>
      <c r="V14" s="37"/>
      <c r="W14" s="37"/>
      <c r="Y14" s="1" t="s">
        <v>148</v>
      </c>
      <c r="Z14" s="38">
        <f>B14+D14+F14+H14+J14+L14+N14</f>
        <v>14.530000000000001</v>
      </c>
      <c r="AA14" s="38">
        <v>3.49</v>
      </c>
      <c r="AB14" s="43">
        <f>Z14*AA14</f>
        <v>50.709700000000005</v>
      </c>
      <c r="AD14" s="1">
        <v>5</v>
      </c>
    </row>
    <row r="15" spans="1:33" ht="12.75">
      <c r="A15" s="5">
        <v>42627</v>
      </c>
      <c r="B15" s="1">
        <f>0.5+5.4+0.6</f>
        <v>6.5</v>
      </c>
      <c r="C15" s="1">
        <f>B15*AA15</f>
        <v>22.685000000000002</v>
      </c>
      <c r="D15" s="1">
        <f>5.22</f>
        <v>5.22</v>
      </c>
      <c r="E15" s="1">
        <f>D15*AA15</f>
        <v>18.2178</v>
      </c>
      <c r="G15" s="1">
        <f>F15*AA15</f>
        <v>0</v>
      </c>
      <c r="I15" s="1">
        <f>H15*AA15</f>
        <v>0</v>
      </c>
      <c r="J15" s="1">
        <f>8.75+4.2</f>
        <v>12.95</v>
      </c>
      <c r="K15" s="1">
        <f>J15*AA15</f>
        <v>45.1955</v>
      </c>
      <c r="M15" s="1">
        <f>L15*AA15</f>
        <v>0</v>
      </c>
      <c r="O15" s="1">
        <f>N15*AA15</f>
        <v>0</v>
      </c>
      <c r="P15" s="37"/>
      <c r="Q15" s="37"/>
      <c r="R15" s="37" t="s">
        <v>26</v>
      </c>
      <c r="S15" s="37"/>
      <c r="T15" s="37"/>
      <c r="U15" s="37"/>
      <c r="V15" s="37"/>
      <c r="W15" s="37"/>
      <c r="Y15" s="1" t="s">
        <v>149</v>
      </c>
      <c r="Z15" s="38">
        <f>B15+D15+F15+H15+J15+L15+N15</f>
        <v>24.669999999999998</v>
      </c>
      <c r="AA15" s="38">
        <v>3.49</v>
      </c>
      <c r="AB15" s="43">
        <f>Z15*AA15</f>
        <v>86.0983</v>
      </c>
      <c r="AD15" s="1">
        <v>5</v>
      </c>
      <c r="AF15" s="8"/>
      <c r="AG15" s="8"/>
    </row>
    <row r="16" spans="1:32" ht="12.75">
      <c r="A16" s="5">
        <v>42628</v>
      </c>
      <c r="B16" s="1">
        <f>0.6+0.6</f>
        <v>1.2000000000000002</v>
      </c>
      <c r="C16" s="1">
        <f>B16*AA16</f>
        <v>4.188000000000001</v>
      </c>
      <c r="D16" s="1">
        <v>4.29</v>
      </c>
      <c r="E16" s="1">
        <f>D16*AA16</f>
        <v>14.972100000000001</v>
      </c>
      <c r="F16" s="1">
        <v>4</v>
      </c>
      <c r="G16" s="1">
        <f>F16*AA16</f>
        <v>13.96</v>
      </c>
      <c r="I16" s="1">
        <f>H16*AA16</f>
        <v>0</v>
      </c>
      <c r="K16" s="1">
        <f>J16*AA16</f>
        <v>0</v>
      </c>
      <c r="M16" s="1">
        <f>L16*AA16</f>
        <v>0</v>
      </c>
      <c r="O16" s="1">
        <f>N16*AA16</f>
        <v>0</v>
      </c>
      <c r="P16" s="37"/>
      <c r="Q16" s="37"/>
      <c r="R16" s="37" t="s">
        <v>26</v>
      </c>
      <c r="S16" s="37"/>
      <c r="T16" s="37"/>
      <c r="U16" s="37"/>
      <c r="V16" s="37"/>
      <c r="W16" s="37"/>
      <c r="Y16" s="1" t="s">
        <v>150</v>
      </c>
      <c r="Z16" s="38">
        <f>B16+D16+F16+H16+J16+L16+N16</f>
        <v>9.49</v>
      </c>
      <c r="AA16" s="38">
        <v>3.49</v>
      </c>
      <c r="AB16" s="43">
        <f>Z16*AA16</f>
        <v>33.1201</v>
      </c>
      <c r="AD16" s="1">
        <v>5</v>
      </c>
      <c r="AF16" s="8"/>
    </row>
    <row r="17" spans="1:30" ht="12.75">
      <c r="A17" s="5">
        <v>42629</v>
      </c>
      <c r="B17" s="1">
        <f>0.7+0.7</f>
        <v>1.4000000000000001</v>
      </c>
      <c r="C17" s="1">
        <f>B17*AA17</f>
        <v>4.886000000000001</v>
      </c>
      <c r="D17" s="1">
        <v>1.98</v>
      </c>
      <c r="E17" s="1">
        <f>D17*AA17</f>
        <v>6.910200000000001</v>
      </c>
      <c r="F17" s="1">
        <v>3</v>
      </c>
      <c r="G17" s="1">
        <f>F17*AA17</f>
        <v>10.47</v>
      </c>
      <c r="H17" s="1">
        <v>7</v>
      </c>
      <c r="I17" s="1">
        <f>H17*AA17</f>
        <v>24.43</v>
      </c>
      <c r="J17" s="1">
        <v>6.25</v>
      </c>
      <c r="K17" s="1">
        <f>J17*AA17</f>
        <v>21.8125</v>
      </c>
      <c r="M17" s="1">
        <f>L17*AA17</f>
        <v>0</v>
      </c>
      <c r="O17" s="1">
        <f>N17*AA17</f>
        <v>0</v>
      </c>
      <c r="P17" s="37"/>
      <c r="Q17" s="37"/>
      <c r="R17" s="37" t="s">
        <v>26</v>
      </c>
      <c r="S17" s="37"/>
      <c r="T17" s="37"/>
      <c r="U17" s="37"/>
      <c r="V17" s="37"/>
      <c r="W17" s="37"/>
      <c r="X17" s="1">
        <v>1</v>
      </c>
      <c r="Y17" s="1" t="s">
        <v>150</v>
      </c>
      <c r="Z17" s="38">
        <f>B17+D17+F17+H17+J17+L17+N17</f>
        <v>19.63</v>
      </c>
      <c r="AA17" s="38">
        <v>3.49</v>
      </c>
      <c r="AB17" s="43">
        <f>Z17*AA17</f>
        <v>68.5087</v>
      </c>
      <c r="AD17" s="1">
        <v>5</v>
      </c>
    </row>
    <row r="18" spans="1:30" ht="12.75">
      <c r="A18" s="5">
        <v>42630</v>
      </c>
      <c r="C18" s="1">
        <f>B18*AA18</f>
        <v>0</v>
      </c>
      <c r="D18" s="1">
        <f>1.5+1.5+2.3+1.83</f>
        <v>7.13</v>
      </c>
      <c r="E18" s="1">
        <f>D18*AA18</f>
        <v>24.8837</v>
      </c>
      <c r="F18" s="1">
        <v>5.5</v>
      </c>
      <c r="G18" s="1">
        <f>F18*AA18</f>
        <v>19.195</v>
      </c>
      <c r="I18" s="1">
        <f>H18*AA18</f>
        <v>0</v>
      </c>
      <c r="K18" s="1">
        <f>J18*AA18</f>
        <v>0</v>
      </c>
      <c r="M18" s="1">
        <f>L18*AA18</f>
        <v>0</v>
      </c>
      <c r="O18" s="1">
        <f>N18*AA18</f>
        <v>0</v>
      </c>
      <c r="P18" s="37"/>
      <c r="Q18" s="37"/>
      <c r="R18" s="37" t="s">
        <v>26</v>
      </c>
      <c r="S18" s="37"/>
      <c r="T18" s="37"/>
      <c r="U18" s="37"/>
      <c r="V18" s="37"/>
      <c r="W18" s="37"/>
      <c r="Y18" s="1" t="s">
        <v>150</v>
      </c>
      <c r="Z18" s="38">
        <f>B18+D18+F18+H18+J18+L18+N18</f>
        <v>12.629999999999999</v>
      </c>
      <c r="AA18" s="38">
        <v>3.49</v>
      </c>
      <c r="AB18" s="43">
        <f>Z18*AA18</f>
        <v>44.0787</v>
      </c>
      <c r="AD18" s="1">
        <v>5</v>
      </c>
    </row>
    <row r="19" spans="1:30" ht="12.75">
      <c r="A19" s="5"/>
      <c r="B19" s="1">
        <f>1.1+6+2</f>
        <v>9.1</v>
      </c>
      <c r="C19" s="1">
        <f>B19*AA19</f>
        <v>31.759</v>
      </c>
      <c r="E19" s="1">
        <f>D19*AA19</f>
        <v>0</v>
      </c>
      <c r="G19" s="1">
        <f>F19*AA19</f>
        <v>0</v>
      </c>
      <c r="I19" s="1">
        <f>H19*AA19</f>
        <v>0</v>
      </c>
      <c r="J19" s="1">
        <v>1.5</v>
      </c>
      <c r="K19" s="1">
        <f>J19*AA19</f>
        <v>5.235</v>
      </c>
      <c r="M19" s="1">
        <f>L19*AA19</f>
        <v>0</v>
      </c>
      <c r="O19" s="1">
        <f>N19*AA19</f>
        <v>0</v>
      </c>
      <c r="P19" s="37"/>
      <c r="Q19" s="37"/>
      <c r="R19" s="37"/>
      <c r="S19" s="37"/>
      <c r="T19" s="37"/>
      <c r="U19" s="37"/>
      <c r="V19" s="37"/>
      <c r="W19" s="37"/>
      <c r="Y19" s="1" t="s">
        <v>151</v>
      </c>
      <c r="Z19" s="38">
        <f>B19+D19+F19+H19+J19+L19+N19</f>
        <v>10.6</v>
      </c>
      <c r="AA19" s="38">
        <v>3.49</v>
      </c>
      <c r="AB19" s="43">
        <f>Z19*AA19</f>
        <v>36.994</v>
      </c>
      <c r="AD19" s="1">
        <v>5</v>
      </c>
    </row>
    <row r="20" spans="1:30" ht="12.75">
      <c r="A20" s="5">
        <v>42631</v>
      </c>
      <c r="B20" s="1">
        <f>4000</f>
        <v>4000</v>
      </c>
      <c r="C20" s="1">
        <f>B20*AA20</f>
        <v>4.985714285714286</v>
      </c>
      <c r="D20" s="1">
        <f>12750+800</f>
        <v>13550</v>
      </c>
      <c r="E20" s="1">
        <f>D20*AA20</f>
        <v>16.889107142857142</v>
      </c>
      <c r="F20" s="1">
        <v>16000</v>
      </c>
      <c r="G20" s="1">
        <f>F20*AA20</f>
        <v>19.942857142857143</v>
      </c>
      <c r="I20" s="1">
        <f>H20*AA20</f>
        <v>0</v>
      </c>
      <c r="K20" s="1">
        <f>J20*AA20</f>
        <v>0</v>
      </c>
      <c r="L20" s="1">
        <v>35000</v>
      </c>
      <c r="M20" s="1">
        <f>L20*AA20</f>
        <v>43.625</v>
      </c>
      <c r="O20" s="1">
        <f>N20*AA20</f>
        <v>0</v>
      </c>
      <c r="P20" s="37"/>
      <c r="Q20" s="37"/>
      <c r="R20" s="37" t="s">
        <v>26</v>
      </c>
      <c r="S20" s="37"/>
      <c r="T20" s="37"/>
      <c r="U20" s="37"/>
      <c r="V20" s="37"/>
      <c r="W20" s="37"/>
      <c r="Z20" s="38">
        <f>B20+D20+F20+H20+J20+L20+N20</f>
        <v>68550</v>
      </c>
      <c r="AA20" s="38">
        <f>3.49/2800</f>
        <v>0.0012464285714285715</v>
      </c>
      <c r="AB20" s="43">
        <f>Z20*AA20</f>
        <v>85.44267857142857</v>
      </c>
      <c r="AD20" s="1">
        <v>6</v>
      </c>
    </row>
    <row r="21" spans="1:30" ht="12.75">
      <c r="A21" s="5">
        <v>42632</v>
      </c>
      <c r="B21" s="1">
        <v>8400</v>
      </c>
      <c r="C21" s="1">
        <f>B21*AA21</f>
        <v>10.745398027451932</v>
      </c>
      <c r="D21" s="1">
        <f>4400+2000</f>
        <v>6400</v>
      </c>
      <c r="E21" s="1">
        <f>D21*AA21</f>
        <v>8.186969925677664</v>
      </c>
      <c r="F21" s="1">
        <f>12000+5000+2000</f>
        <v>19000</v>
      </c>
      <c r="G21" s="1">
        <f>F21*AA21</f>
        <v>24.305066966855563</v>
      </c>
      <c r="I21" s="1">
        <f>H21*AA21</f>
        <v>0</v>
      </c>
      <c r="K21" s="1">
        <f>J21*AA21</f>
        <v>0</v>
      </c>
      <c r="L21" s="1">
        <v>35000</v>
      </c>
      <c r="M21" s="1">
        <f>L21*AA21</f>
        <v>44.77249178104972</v>
      </c>
      <c r="O21" s="1">
        <f>N21*AA21</f>
        <v>0</v>
      </c>
      <c r="P21" s="37"/>
      <c r="Q21" s="37"/>
      <c r="R21" s="37" t="s">
        <v>26</v>
      </c>
      <c r="S21" s="37"/>
      <c r="T21" s="37"/>
      <c r="U21" s="37"/>
      <c r="V21" s="37"/>
      <c r="W21" s="37"/>
      <c r="Y21" s="1" t="s">
        <v>321</v>
      </c>
      <c r="Z21" s="38">
        <f>B21+D21+F21+H21+J21+L21+N21</f>
        <v>68800</v>
      </c>
      <c r="AA21" s="38">
        <f>1/781.73</f>
        <v>0.0012792140508871349</v>
      </c>
      <c r="AB21" s="43">
        <f>Z21*AA21</f>
        <v>88.00992670103489</v>
      </c>
      <c r="AD21" s="1">
        <v>6</v>
      </c>
    </row>
    <row r="22" spans="1:30" ht="12.75">
      <c r="A22" s="5">
        <v>42633</v>
      </c>
      <c r="B22" s="1">
        <f>60000</f>
        <v>60000</v>
      </c>
      <c r="C22" s="1">
        <f>B22*AA22</f>
        <v>74.78571428571429</v>
      </c>
      <c r="D22" s="1">
        <f>2750+2500+2000</f>
        <v>7250</v>
      </c>
      <c r="E22" s="1">
        <f>D22*AA22</f>
        <v>9.036607142857143</v>
      </c>
      <c r="F22" s="1">
        <v>12000</v>
      </c>
      <c r="G22" s="1">
        <f>F22*AA22</f>
        <v>14.957142857142857</v>
      </c>
      <c r="I22" s="1">
        <f>H22*AA22</f>
        <v>0</v>
      </c>
      <c r="J22" s="1">
        <v>1400</v>
      </c>
      <c r="K22" s="1">
        <f>J22*AA22</f>
        <v>1.745</v>
      </c>
      <c r="M22" s="1">
        <f>L22*AA22</f>
        <v>0</v>
      </c>
      <c r="O22" s="1">
        <f>N22*AA22</f>
        <v>0</v>
      </c>
      <c r="P22" s="37"/>
      <c r="Q22" s="37"/>
      <c r="R22" s="37"/>
      <c r="S22" s="37"/>
      <c r="T22" s="37"/>
      <c r="U22" s="37"/>
      <c r="V22" s="37"/>
      <c r="W22" s="37" t="s">
        <v>26</v>
      </c>
      <c r="Y22" s="1" t="s">
        <v>322</v>
      </c>
      <c r="Z22" s="38">
        <f>B22+D22+F22+H22+J22+L22+N22</f>
        <v>80650</v>
      </c>
      <c r="AA22" s="38">
        <f>3.49/2800</f>
        <v>0.0012464285714285715</v>
      </c>
      <c r="AB22" s="43">
        <f>Z22*AA22</f>
        <v>100.52446428571429</v>
      </c>
      <c r="AD22" s="1">
        <v>6</v>
      </c>
    </row>
    <row r="23" spans="1:30" ht="12.75">
      <c r="A23" s="5">
        <v>42634</v>
      </c>
      <c r="C23" s="1">
        <f>B23*AA23</f>
        <v>0</v>
      </c>
      <c r="D23" s="1">
        <f>9400+9100</f>
        <v>18500</v>
      </c>
      <c r="E23" s="1">
        <f>D23*AA23</f>
        <v>23.665459941411996</v>
      </c>
      <c r="G23" s="1">
        <f>F23*AA23</f>
        <v>0</v>
      </c>
      <c r="I23" s="1">
        <f>H23*AA23</f>
        <v>0</v>
      </c>
      <c r="J23" s="1">
        <v>4000</v>
      </c>
      <c r="K23" s="1">
        <f>J23*AA23</f>
        <v>5.116856203548539</v>
      </c>
      <c r="L23" s="1">
        <v>22000</v>
      </c>
      <c r="M23" s="1">
        <f>L23*AA23</f>
        <v>28.14270911951697</v>
      </c>
      <c r="O23" s="1">
        <f>N23*AA23</f>
        <v>0</v>
      </c>
      <c r="P23" s="37"/>
      <c r="Q23" s="37"/>
      <c r="R23" s="37" t="s">
        <v>26</v>
      </c>
      <c r="S23" s="37"/>
      <c r="T23" s="37"/>
      <c r="U23" s="37"/>
      <c r="V23" s="37"/>
      <c r="W23" s="37"/>
      <c r="Y23" s="1" t="s">
        <v>323</v>
      </c>
      <c r="Z23" s="38">
        <f>B23+D23+F23+H23+J23+L23+N23</f>
        <v>44500</v>
      </c>
      <c r="AA23" s="38">
        <f>1/781.73</f>
        <v>0.0012792140508871349</v>
      </c>
      <c r="AB23" s="43">
        <f>Z23*AA23</f>
        <v>56.925025264477505</v>
      </c>
      <c r="AD23" s="1">
        <v>6</v>
      </c>
    </row>
    <row r="24" spans="1:30" ht="12.75">
      <c r="A24" s="5">
        <v>42635</v>
      </c>
      <c r="C24" s="1">
        <f>B24*AA24</f>
        <v>0</v>
      </c>
      <c r="D24" s="1">
        <f>5200+8200</f>
        <v>13400</v>
      </c>
      <c r="E24" s="1">
        <f>D24*AA24</f>
        <v>17.141468281887608</v>
      </c>
      <c r="F24" s="1">
        <f>14000</f>
        <v>14000</v>
      </c>
      <c r="G24" s="1">
        <f>F24*AA24</f>
        <v>17.90899671241989</v>
      </c>
      <c r="I24" s="1">
        <f>H24*AA24</f>
        <v>0</v>
      </c>
      <c r="K24" s="1">
        <f>J24*AA24</f>
        <v>0</v>
      </c>
      <c r="L24" s="1">
        <v>22000</v>
      </c>
      <c r="M24" s="1">
        <f>L24*AA24</f>
        <v>28.14270911951697</v>
      </c>
      <c r="O24" s="1">
        <f>N24*AA24</f>
        <v>0</v>
      </c>
      <c r="P24" s="37"/>
      <c r="Q24" s="37"/>
      <c r="R24" s="37" t="s">
        <v>26</v>
      </c>
      <c r="S24" s="37"/>
      <c r="T24" s="37"/>
      <c r="U24" s="37"/>
      <c r="V24" s="37"/>
      <c r="W24" s="37"/>
      <c r="Y24" s="1" t="s">
        <v>323</v>
      </c>
      <c r="Z24" s="38">
        <f>B24+D24+F24+H24+J24+L24+N24</f>
        <v>49400</v>
      </c>
      <c r="AA24" s="38">
        <f>1/781.73</f>
        <v>0.0012792140508871349</v>
      </c>
      <c r="AB24" s="43">
        <f>Z24*AA24</f>
        <v>63.19317411382446</v>
      </c>
      <c r="AD24" s="1">
        <v>6</v>
      </c>
    </row>
    <row r="25" spans="1:30" ht="12.75">
      <c r="A25" s="5">
        <v>42636</v>
      </c>
      <c r="B25" s="1">
        <v>40000</v>
      </c>
      <c r="C25" s="1">
        <f>B25*AA25</f>
        <v>51.168562035485394</v>
      </c>
      <c r="D25" s="1">
        <f>6800+2000</f>
        <v>8800</v>
      </c>
      <c r="E25" s="1">
        <f>D25*AA25</f>
        <v>11.257083647806787</v>
      </c>
      <c r="F25" s="1">
        <v>6000</v>
      </c>
      <c r="G25" s="1">
        <f>F25*AA25</f>
        <v>7.675284305322809</v>
      </c>
      <c r="I25" s="1">
        <f>H25*AA25</f>
        <v>0</v>
      </c>
      <c r="K25" s="1">
        <f>J25*AA25</f>
        <v>0</v>
      </c>
      <c r="L25" s="1">
        <v>30000</v>
      </c>
      <c r="M25" s="1">
        <f>L25*AA25</f>
        <v>38.376421526614045</v>
      </c>
      <c r="O25" s="1">
        <f>N25*AA25</f>
        <v>0</v>
      </c>
      <c r="P25" s="37"/>
      <c r="Q25" s="37"/>
      <c r="R25" s="37" t="s">
        <v>26</v>
      </c>
      <c r="S25" s="37"/>
      <c r="T25" s="37"/>
      <c r="U25" s="37"/>
      <c r="V25" s="37"/>
      <c r="W25" s="37"/>
      <c r="Y25" s="1" t="s">
        <v>324</v>
      </c>
      <c r="Z25" s="38">
        <f>B25+D25+F25+H25+J25+L25+N25</f>
        <v>84800</v>
      </c>
      <c r="AA25" s="38">
        <f>1/781.73</f>
        <v>0.0012792140508871349</v>
      </c>
      <c r="AB25" s="43">
        <f>Z25*AA25</f>
        <v>108.47735151522903</v>
      </c>
      <c r="AD25" s="1">
        <v>6</v>
      </c>
    </row>
    <row r="26" spans="1:30" ht="12.75">
      <c r="A26" s="5">
        <v>42637</v>
      </c>
      <c r="C26" s="1">
        <f>B26*AA26</f>
        <v>0</v>
      </c>
      <c r="D26" s="1">
        <f>3000+4100+1500</f>
        <v>8600</v>
      </c>
      <c r="E26" s="1">
        <f>D26*AA26</f>
        <v>11.00124083762936</v>
      </c>
      <c r="G26" s="1">
        <f>F26*AA26</f>
        <v>0</v>
      </c>
      <c r="H26" s="1">
        <v>40000</v>
      </c>
      <c r="I26" s="1">
        <f>H26*AA26</f>
        <v>51.168562035485394</v>
      </c>
      <c r="K26" s="1">
        <f>J26*AA26</f>
        <v>0</v>
      </c>
      <c r="L26" s="1">
        <v>30000</v>
      </c>
      <c r="M26" s="1">
        <f>L26*AA26</f>
        <v>38.376421526614045</v>
      </c>
      <c r="O26" s="1">
        <f>N26*AA26</f>
        <v>0</v>
      </c>
      <c r="P26" s="37"/>
      <c r="Q26" s="37"/>
      <c r="R26" s="37" t="s">
        <v>26</v>
      </c>
      <c r="S26" s="37"/>
      <c r="T26" s="37"/>
      <c r="U26" s="37"/>
      <c r="V26" s="37"/>
      <c r="W26" s="37"/>
      <c r="Y26" s="1" t="s">
        <v>325</v>
      </c>
      <c r="Z26" s="38">
        <f>B26+D26+F26+H26+J26+L26+N26</f>
        <v>78600</v>
      </c>
      <c r="AA26" s="38">
        <f>1/781.73</f>
        <v>0.0012792140508871349</v>
      </c>
      <c r="AB26" s="43">
        <f>Z26*AA26</f>
        <v>100.5462243997288</v>
      </c>
      <c r="AD26" s="1">
        <v>6</v>
      </c>
    </row>
    <row r="27" spans="1:30" ht="12.75">
      <c r="A27" s="5">
        <v>42638</v>
      </c>
      <c r="C27" s="1">
        <f>B27*AA27</f>
        <v>0</v>
      </c>
      <c r="D27" s="1">
        <f>2000+1000+1000+3800+1000+5000</f>
        <v>13800</v>
      </c>
      <c r="E27" s="1">
        <f>D27*AA27</f>
        <v>17.65315390224246</v>
      </c>
      <c r="G27" s="1">
        <f>F27*AA27</f>
        <v>0</v>
      </c>
      <c r="I27" s="1">
        <f>H27*AA27</f>
        <v>0</v>
      </c>
      <c r="K27" s="1">
        <f>J27*AA27</f>
        <v>0</v>
      </c>
      <c r="L27" s="1">
        <v>30000</v>
      </c>
      <c r="M27" s="1">
        <f>L27*AA27</f>
        <v>38.376421526614045</v>
      </c>
      <c r="O27" s="1">
        <f>N27*AA27</f>
        <v>0</v>
      </c>
      <c r="P27" s="37"/>
      <c r="Q27" s="37"/>
      <c r="R27" s="37" t="s">
        <v>26</v>
      </c>
      <c r="S27" s="37"/>
      <c r="T27" s="37"/>
      <c r="U27" s="37"/>
      <c r="V27" s="37"/>
      <c r="W27" s="37"/>
      <c r="Y27" s="1" t="s">
        <v>325</v>
      </c>
      <c r="Z27" s="38">
        <f>B27+D27+F27+H27+J27+L27+N27</f>
        <v>43800</v>
      </c>
      <c r="AA27" s="38">
        <f>1/781.73</f>
        <v>0.0012792140508871349</v>
      </c>
      <c r="AB27" s="43">
        <f>Z27*AA27</f>
        <v>56.02957542885651</v>
      </c>
      <c r="AD27" s="1">
        <v>6</v>
      </c>
    </row>
    <row r="28" spans="1:30" ht="12.75">
      <c r="A28" s="5">
        <v>42639</v>
      </c>
      <c r="B28" s="1">
        <f>24000+24000</f>
        <v>48000</v>
      </c>
      <c r="C28" s="1">
        <f>B28*AA28</f>
        <v>61.402274442582474</v>
      </c>
      <c r="D28" s="1">
        <v>14300</v>
      </c>
      <c r="E28" s="1">
        <f>D28*AA28</f>
        <v>18.29276092768603</v>
      </c>
      <c r="F28" s="1">
        <v>10000</v>
      </c>
      <c r="G28" s="1">
        <f>F28*AA28</f>
        <v>12.792140508871348</v>
      </c>
      <c r="I28" s="1">
        <f>H28*AA28</f>
        <v>0</v>
      </c>
      <c r="K28" s="1">
        <f>J28*AA28</f>
        <v>0</v>
      </c>
      <c r="L28" s="1">
        <v>25000</v>
      </c>
      <c r="M28" s="1">
        <f>L28*AA28</f>
        <v>31.98035127217837</v>
      </c>
      <c r="O28" s="1">
        <f>N28*AA28</f>
        <v>0</v>
      </c>
      <c r="P28" s="37"/>
      <c r="Q28" s="37"/>
      <c r="R28" s="37" t="s">
        <v>26</v>
      </c>
      <c r="S28" s="37"/>
      <c r="T28" s="37"/>
      <c r="U28" s="37"/>
      <c r="V28" s="37"/>
      <c r="W28" s="37"/>
      <c r="Y28" s="1" t="s">
        <v>326</v>
      </c>
      <c r="Z28" s="38">
        <f>B28+D28+F28+H28+J28+L28+N28</f>
        <v>97300</v>
      </c>
      <c r="AA28" s="38">
        <f>1/781.73</f>
        <v>0.0012792140508871349</v>
      </c>
      <c r="AB28" s="43">
        <f>Z28*AA28</f>
        <v>124.46752715131822</v>
      </c>
      <c r="AD28" s="1">
        <v>6</v>
      </c>
    </row>
    <row r="29" spans="1:30" ht="12.75">
      <c r="A29" s="5">
        <v>42640</v>
      </c>
      <c r="C29" s="1">
        <f>B29*AA29</f>
        <v>0</v>
      </c>
      <c r="D29" s="1">
        <v>33500</v>
      </c>
      <c r="E29" s="1">
        <f>D29*AA29</f>
        <v>42.853670704719015</v>
      </c>
      <c r="F29" s="1">
        <v>10000</v>
      </c>
      <c r="G29" s="1">
        <f>F29*AA29</f>
        <v>12.792140508871348</v>
      </c>
      <c r="I29" s="1">
        <f>H29*AA29</f>
        <v>0</v>
      </c>
      <c r="J29" s="1">
        <v>8000</v>
      </c>
      <c r="K29" s="1">
        <f>J29*AA29</f>
        <v>10.233712407097078</v>
      </c>
      <c r="L29" s="1">
        <v>25000</v>
      </c>
      <c r="M29" s="1">
        <f>L29*AA29</f>
        <v>31.98035127217837</v>
      </c>
      <c r="O29" s="1">
        <f>N29*AA29</f>
        <v>0</v>
      </c>
      <c r="P29" s="37"/>
      <c r="Q29" s="37"/>
      <c r="R29" s="37" t="s">
        <v>26</v>
      </c>
      <c r="S29" s="37"/>
      <c r="T29" s="37"/>
      <c r="U29" s="37"/>
      <c r="V29" s="37"/>
      <c r="W29" s="37"/>
      <c r="Y29" s="1" t="s">
        <v>327</v>
      </c>
      <c r="Z29" s="38">
        <f>B29+D29+F29+H29+J29+L29+N29</f>
        <v>76500</v>
      </c>
      <c r="AA29" s="38">
        <f>1/781.73</f>
        <v>0.0012792140508871349</v>
      </c>
      <c r="AB29" s="43">
        <f>Z29*AA29</f>
        <v>97.85987489286582</v>
      </c>
      <c r="AD29" s="1">
        <v>6</v>
      </c>
    </row>
    <row r="30" spans="1:30" ht="12.75">
      <c r="A30" s="5">
        <v>42641</v>
      </c>
      <c r="C30" s="1">
        <f>B30*AA30</f>
        <v>0</v>
      </c>
      <c r="D30" s="1">
        <f>2900+5000</f>
        <v>7900</v>
      </c>
      <c r="E30" s="1">
        <f>D30*AA30</f>
        <v>10.105791002008365</v>
      </c>
      <c r="G30" s="1">
        <f>F30*AA30</f>
        <v>0</v>
      </c>
      <c r="I30" s="1">
        <f>H30*AA30</f>
        <v>0</v>
      </c>
      <c r="J30" s="1">
        <f>20000+8000</f>
        <v>28000</v>
      </c>
      <c r="K30" s="1">
        <f>J30*AA30</f>
        <v>35.81799342483978</v>
      </c>
      <c r="M30" s="1">
        <f>L30*AA30</f>
        <v>0</v>
      </c>
      <c r="O30" s="1">
        <f>N30*AA30</f>
        <v>0</v>
      </c>
      <c r="P30" s="37"/>
      <c r="Q30" s="37"/>
      <c r="R30" s="37" t="s">
        <v>26</v>
      </c>
      <c r="S30" s="37"/>
      <c r="T30" s="37"/>
      <c r="U30" s="37"/>
      <c r="V30" s="37"/>
      <c r="W30" s="37"/>
      <c r="Y30" s="1" t="s">
        <v>328</v>
      </c>
      <c r="Z30" s="38">
        <f>B30+D30+F30+H30+J30+L30+N30</f>
        <v>35900</v>
      </c>
      <c r="AA30" s="38">
        <f>1/781.73</f>
        <v>0.0012792140508871349</v>
      </c>
      <c r="AB30" s="43">
        <f>Z30*AA30</f>
        <v>45.923784426848144</v>
      </c>
      <c r="AD30" s="1">
        <v>6</v>
      </c>
    </row>
    <row r="31" spans="1:30" ht="12.75">
      <c r="A31" s="5">
        <v>42642</v>
      </c>
      <c r="C31" s="1">
        <f>B31*AA31</f>
        <v>0</v>
      </c>
      <c r="D31" s="1">
        <f>2500+20000</f>
        <v>22500</v>
      </c>
      <c r="E31" s="1">
        <f>D31*AA31</f>
        <v>28.782316144960536</v>
      </c>
      <c r="G31" s="1">
        <f>F31*AA31</f>
        <v>0</v>
      </c>
      <c r="I31" s="1">
        <f>H31*AA31</f>
        <v>0</v>
      </c>
      <c r="J31" s="1">
        <v>6000</v>
      </c>
      <c r="K31" s="1">
        <f>J31*AA31</f>
        <v>7.675284305322809</v>
      </c>
      <c r="M31" s="1">
        <f>L31*AA31</f>
        <v>0</v>
      </c>
      <c r="O31" s="1">
        <f>N31*AA31</f>
        <v>0</v>
      </c>
      <c r="P31" s="37"/>
      <c r="Q31" s="37"/>
      <c r="R31" s="37" t="s">
        <v>26</v>
      </c>
      <c r="S31" s="37"/>
      <c r="T31" s="37"/>
      <c r="U31" s="37"/>
      <c r="V31" s="37"/>
      <c r="W31" s="37"/>
      <c r="Y31" s="1" t="s">
        <v>329</v>
      </c>
      <c r="Z31" s="38">
        <f>B31+D31+F31+H31+J31+L31+N31</f>
        <v>28500</v>
      </c>
      <c r="AA31" s="38">
        <f>1/781.73</f>
        <v>0.0012792140508871349</v>
      </c>
      <c r="AB31" s="43">
        <f>Z31*AA31</f>
        <v>36.457600450283344</v>
      </c>
      <c r="AD31" s="1">
        <v>6</v>
      </c>
    </row>
    <row r="32" spans="1:30" ht="12.75">
      <c r="A32" s="5">
        <v>42643</v>
      </c>
      <c r="B32" s="1">
        <v>50000</v>
      </c>
      <c r="C32" s="1">
        <f>B32*AA32</f>
        <v>63.96070254435674</v>
      </c>
      <c r="D32" s="1">
        <f>2500</f>
        <v>2500</v>
      </c>
      <c r="E32" s="1">
        <f>D32*AA32</f>
        <v>3.198035127217837</v>
      </c>
      <c r="G32" s="1">
        <f>F32*AA32</f>
        <v>0</v>
      </c>
      <c r="I32" s="1">
        <f>H32*AA32</f>
        <v>0</v>
      </c>
      <c r="K32" s="1">
        <f>J32*AA32</f>
        <v>0</v>
      </c>
      <c r="M32" s="1">
        <f>L32*AA32</f>
        <v>0</v>
      </c>
      <c r="O32" s="1">
        <f>N32*AA32</f>
        <v>0</v>
      </c>
      <c r="P32" s="37"/>
      <c r="Q32" s="37"/>
      <c r="R32" s="37" t="s">
        <v>26</v>
      </c>
      <c r="S32" s="37"/>
      <c r="T32" s="37"/>
      <c r="U32" s="37"/>
      <c r="V32" s="37"/>
      <c r="W32" s="37"/>
      <c r="Y32" s="1" t="s">
        <v>330</v>
      </c>
      <c r="Z32" s="38">
        <f>B32+D32+F32+H32+J32+L32+N32</f>
        <v>52500</v>
      </c>
      <c r="AA32" s="38">
        <f>1/781.73</f>
        <v>0.0012792140508871349</v>
      </c>
      <c r="AB32" s="43">
        <f>Z32*AA32</f>
        <v>67.15873767157458</v>
      </c>
      <c r="AD32" s="1">
        <v>6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f>3.49/2800</f>
        <v>0.0012464285714285715</v>
      </c>
      <c r="AB33" s="2">
        <f>Z33*AA33</f>
        <v>0</v>
      </c>
      <c r="AD33" s="1">
        <v>6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3.49/2800</f>
        <v>0.0012464285714285715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3.49/2800</f>
        <v>0.0012464285714285715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AI1">
      <selection activeCell="AN10" sqref="AN10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6" width="8.57421875" style="1" customWidth="1"/>
    <col min="17" max="17" width="16.710937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7.574218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4.28125" style="1" customWidth="1"/>
    <col min="39" max="39" width="11.57421875" style="1" customWidth="1"/>
    <col min="40" max="40" width="2.57421875" style="1" customWidth="1"/>
    <col min="41" max="41" width="13.421875" style="1" customWidth="1"/>
    <col min="42" max="42" width="11.57421875" style="1" customWidth="1"/>
    <col min="43" max="43" width="2.8515625" style="1" customWidth="1"/>
    <col min="44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42644</v>
      </c>
      <c r="B2" s="1">
        <v>14000</v>
      </c>
      <c r="C2" s="1">
        <f>B2*AA2</f>
        <v>17.90899671241989</v>
      </c>
      <c r="D2" s="1">
        <v>8800</v>
      </c>
      <c r="E2" s="1">
        <f>D2*AA2</f>
        <v>11.257083647806787</v>
      </c>
      <c r="F2" s="1">
        <v>10200</v>
      </c>
      <c r="G2" s="1">
        <f>F2*AA2</f>
        <v>13.047983319048775</v>
      </c>
      <c r="I2" s="1">
        <f>H2*AA2</f>
        <v>0</v>
      </c>
      <c r="K2" s="1">
        <f>J2*AA2</f>
        <v>0</v>
      </c>
      <c r="L2" s="1">
        <v>25000</v>
      </c>
      <c r="M2" s="1">
        <f>L2*AA2</f>
        <v>31.98035127217837</v>
      </c>
      <c r="O2" s="1">
        <f>N2*AA2</f>
        <v>0</v>
      </c>
      <c r="R2" s="1" t="s">
        <v>26</v>
      </c>
      <c r="Y2" s="1" t="s">
        <v>331</v>
      </c>
      <c r="Z2" s="1">
        <f>B2+D2+F2+H2+J2+L2+N2</f>
        <v>58000</v>
      </c>
      <c r="AA2" s="1">
        <f>1/781.73</f>
        <v>0.0012792140508871349</v>
      </c>
      <c r="AB2" s="2">
        <f>Z2*AA2</f>
        <v>74.19441495145382</v>
      </c>
      <c r="AD2" s="1">
        <v>6</v>
      </c>
      <c r="AF2" s="1" t="s">
        <v>28</v>
      </c>
      <c r="AG2" s="1">
        <f>SUM(AB2:AB994)</f>
        <v>2330.088130145958</v>
      </c>
      <c r="AI2" s="1" t="s">
        <v>29</v>
      </c>
      <c r="AJ2" s="6">
        <f>AG2/AG5</f>
        <v>75.16413323051478</v>
      </c>
      <c r="AL2" s="1" t="s">
        <v>93</v>
      </c>
      <c r="AM2" s="1">
        <f>COUNTBLANK(L2:L40)-COUNTBLANK(A2:A40)</f>
        <v>14</v>
      </c>
      <c r="AN2" s="7"/>
      <c r="AO2" s="7" t="s">
        <v>313</v>
      </c>
      <c r="AP2" s="7">
        <f>SUMIF(AD2:AD44,"=5",AB2:AB44)</f>
        <v>0</v>
      </c>
      <c r="AQ2" s="7"/>
      <c r="AR2" s="7" t="s">
        <v>318</v>
      </c>
      <c r="AS2" s="7">
        <f>SUMIF(AD2:AD44,"=6",AB2:AB44)</f>
        <v>2330.088130145958</v>
      </c>
    </row>
    <row r="3" spans="1:45" ht="12.75">
      <c r="A3" s="5">
        <v>42645</v>
      </c>
      <c r="B3" s="1">
        <v>4000</v>
      </c>
      <c r="C3" s="1">
        <f>B3*AA3</f>
        <v>5.116856203548539</v>
      </c>
      <c r="D3" s="1">
        <v>32100</v>
      </c>
      <c r="E3" s="1">
        <f>D3*AA3</f>
        <v>41.06277103347703</v>
      </c>
      <c r="F3" s="1">
        <v>10000</v>
      </c>
      <c r="G3" s="1">
        <f>F3*AA3</f>
        <v>12.792140508871348</v>
      </c>
      <c r="I3" s="1">
        <f>H3*AA3</f>
        <v>0</v>
      </c>
      <c r="K3" s="1">
        <f>J3*AA3</f>
        <v>0</v>
      </c>
      <c r="L3" s="1">
        <v>25000</v>
      </c>
      <c r="M3" s="1">
        <f>L3*AA3</f>
        <v>31.98035127217837</v>
      </c>
      <c r="O3" s="1">
        <f>N3*AA3</f>
        <v>0</v>
      </c>
      <c r="R3" s="1" t="s">
        <v>26</v>
      </c>
      <c r="Y3" s="1" t="s">
        <v>327</v>
      </c>
      <c r="Z3" s="1">
        <f>B3+D3+F3+H3+J3+L3+N3</f>
        <v>71100</v>
      </c>
      <c r="AA3" s="1">
        <f>1/781.73</f>
        <v>0.0012792140508871349</v>
      </c>
      <c r="AB3" s="2">
        <f>Z3*AA3</f>
        <v>90.9521190180753</v>
      </c>
      <c r="AD3" s="1">
        <v>6</v>
      </c>
      <c r="AF3" s="8"/>
      <c r="AI3" s="8"/>
      <c r="AJ3" s="9"/>
      <c r="AL3" s="1" t="s">
        <v>95</v>
      </c>
      <c r="AM3" s="1">
        <f>COUNT(L2:L36)</f>
        <v>17</v>
      </c>
      <c r="AO3" s="7" t="s">
        <v>314</v>
      </c>
      <c r="AP3" s="7">
        <f>_xlfn.COUNTIFS(A2:A44,"&lt;&gt;''",AD2:AD44,"=5")</f>
        <v>0</v>
      </c>
      <c r="AQ3" s="7"/>
      <c r="AR3" s="7" t="s">
        <v>319</v>
      </c>
      <c r="AS3" s="7">
        <f>_xlfn.COUNTIFS(A2:A44,"&lt;&gt;''",AD2:AD44,"=6")</f>
        <v>31</v>
      </c>
    </row>
    <row r="4" spans="1:45" ht="12.75">
      <c r="A4" s="5">
        <v>42646</v>
      </c>
      <c r="C4" s="1">
        <f>B4*AA4</f>
        <v>0</v>
      </c>
      <c r="D4" s="1">
        <f>10700</f>
        <v>10700</v>
      </c>
      <c r="E4" s="1">
        <f>D4*AA4</f>
        <v>13.687590344492342</v>
      </c>
      <c r="F4" s="1">
        <v>11000</v>
      </c>
      <c r="G4" s="1">
        <f>F4*AA4</f>
        <v>14.071354559758484</v>
      </c>
      <c r="I4" s="1">
        <f>H4*AA4</f>
        <v>0</v>
      </c>
      <c r="K4" s="1">
        <f>J4*AA4</f>
        <v>0</v>
      </c>
      <c r="L4" s="1">
        <v>25000</v>
      </c>
      <c r="M4" s="1">
        <f>L4*AA4</f>
        <v>31.98035127217837</v>
      </c>
      <c r="O4" s="1">
        <f>N4*AA4</f>
        <v>0</v>
      </c>
      <c r="R4" s="1" t="s">
        <v>26</v>
      </c>
      <c r="Y4" s="1" t="s">
        <v>327</v>
      </c>
      <c r="Z4" s="1">
        <f>B4+D4+F4+H4+J4+L4+N4</f>
        <v>46700</v>
      </c>
      <c r="AA4" s="1">
        <f>1/781.73</f>
        <v>0.0012792140508871349</v>
      </c>
      <c r="AB4" s="2">
        <f>Z4*AA4</f>
        <v>59.7392961764292</v>
      </c>
      <c r="AD4" s="1">
        <v>6</v>
      </c>
      <c r="AL4" s="1" t="s">
        <v>218</v>
      </c>
      <c r="AM4" s="1">
        <f>COUNTA(U2:U49)</f>
        <v>0</v>
      </c>
      <c r="AO4" s="7" t="s">
        <v>315</v>
      </c>
      <c r="AP4" s="7" t="e">
        <f>AP2/AP3</f>
        <v>#DIV/0!</v>
      </c>
      <c r="AQ4" s="7"/>
      <c r="AR4" s="7" t="s">
        <v>320</v>
      </c>
      <c r="AS4" s="7">
        <f>AS2/AS3</f>
        <v>75.16413323051478</v>
      </c>
    </row>
    <row r="5" spans="1:39" ht="12.75">
      <c r="A5" s="5">
        <v>42647</v>
      </c>
      <c r="B5" s="1">
        <v>102000</v>
      </c>
      <c r="C5" s="1">
        <f>B5*AA5</f>
        <v>124.23599999999999</v>
      </c>
      <c r="D5" s="1">
        <v>6300</v>
      </c>
      <c r="E5" s="1">
        <f>D5*AA5</f>
        <v>7.673399999999999</v>
      </c>
      <c r="F5" s="1">
        <v>10000</v>
      </c>
      <c r="G5" s="1">
        <f>F5*AA5</f>
        <v>12.18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W5" s="1" t="s">
        <v>26</v>
      </c>
      <c r="Y5" s="1" t="s">
        <v>332</v>
      </c>
      <c r="Z5" s="1">
        <f>B5+D5+F5+H5+J5+L5+N5</f>
        <v>118300</v>
      </c>
      <c r="AA5" s="1">
        <f>0.001218</f>
        <v>0.001218</v>
      </c>
      <c r="AB5" s="2">
        <f>Z5*AA5</f>
        <v>144.08939999999998</v>
      </c>
      <c r="AD5" s="1">
        <v>6</v>
      </c>
      <c r="AF5" s="1" t="s">
        <v>42</v>
      </c>
      <c r="AG5" s="1">
        <f>COUNTA(A2:A349)</f>
        <v>31</v>
      </c>
      <c r="AL5" s="8" t="s">
        <v>264</v>
      </c>
      <c r="AM5" s="8">
        <f>COUNTA(P2:P49)</f>
        <v>1</v>
      </c>
    </row>
    <row r="6" spans="1:39" ht="12.75">
      <c r="A6" s="5">
        <v>42648</v>
      </c>
      <c r="B6" s="1">
        <v>3200</v>
      </c>
      <c r="C6" s="1">
        <f>B6*AA6</f>
        <v>3.8975999999999997</v>
      </c>
      <c r="D6" s="1">
        <v>7450</v>
      </c>
      <c r="E6" s="1">
        <f>D6*AA6</f>
        <v>9.0741</v>
      </c>
      <c r="F6" s="1">
        <v>11000</v>
      </c>
      <c r="G6" s="1">
        <f>F6*AA6</f>
        <v>13.398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R6" s="1" t="s">
        <v>26</v>
      </c>
      <c r="Y6" s="1" t="s">
        <v>333</v>
      </c>
      <c r="Z6" s="1">
        <f>B6+D6+F6+H6+J6+L6+N6</f>
        <v>21650</v>
      </c>
      <c r="AA6" s="1">
        <f>0.001218</f>
        <v>0.001218</v>
      </c>
      <c r="AB6" s="2">
        <f>Z6*AA6</f>
        <v>26.369699999999998</v>
      </c>
      <c r="AD6" s="1">
        <v>6</v>
      </c>
      <c r="AF6" s="8"/>
      <c r="AL6" s="8" t="s">
        <v>265</v>
      </c>
      <c r="AM6" s="1">
        <f>COUNTA(R2:R49)</f>
        <v>28</v>
      </c>
    </row>
    <row r="7" spans="1:39" ht="12.75">
      <c r="A7" s="5">
        <v>42649</v>
      </c>
      <c r="C7" s="1">
        <f>B7*AA7</f>
        <v>0</v>
      </c>
      <c r="D7" s="1">
        <f>16900</f>
        <v>16900</v>
      </c>
      <c r="E7" s="1">
        <f>D7*AA7</f>
        <v>20.5842</v>
      </c>
      <c r="F7" s="1">
        <v>9000</v>
      </c>
      <c r="G7" s="1">
        <f>F7*AA7</f>
        <v>10.962</v>
      </c>
      <c r="I7" s="1">
        <f>H7*AA7</f>
        <v>0</v>
      </c>
      <c r="K7" s="1">
        <f>J7*AA7</f>
        <v>0</v>
      </c>
      <c r="M7" s="1">
        <f>L7*AA7</f>
        <v>0</v>
      </c>
      <c r="O7" s="1">
        <f>N7*AA7</f>
        <v>0</v>
      </c>
      <c r="R7" s="1" t="s">
        <v>26</v>
      </c>
      <c r="Y7" s="1" t="s">
        <v>333</v>
      </c>
      <c r="Z7" s="1">
        <f>B7+D7+F7+H7+J7+L7+N7</f>
        <v>25900</v>
      </c>
      <c r="AA7" s="1">
        <f>0.001218</f>
        <v>0.001218</v>
      </c>
      <c r="AB7" s="2">
        <f>Z7*AA7</f>
        <v>31.5462</v>
      </c>
      <c r="AD7" s="1">
        <v>6</v>
      </c>
      <c r="AI7" s="1" t="s">
        <v>46</v>
      </c>
      <c r="AL7" s="1" t="s">
        <v>16</v>
      </c>
      <c r="AM7" s="1">
        <f>COUNTA(S2:S49)</f>
        <v>0</v>
      </c>
    </row>
    <row r="8" spans="1:39" ht="12.75">
      <c r="A8" s="5">
        <v>42650</v>
      </c>
      <c r="B8" s="1">
        <f>1800*4</f>
        <v>7200</v>
      </c>
      <c r="C8" s="1">
        <f>B8*AA8</f>
        <v>8.769599999999999</v>
      </c>
      <c r="D8" s="1">
        <v>16000</v>
      </c>
      <c r="E8" s="1">
        <f>D8*AA8</f>
        <v>19.488</v>
      </c>
      <c r="F8" s="1">
        <v>9000</v>
      </c>
      <c r="G8" s="1">
        <f>F8*AA8</f>
        <v>10.962</v>
      </c>
      <c r="H8" s="1">
        <v>20000</v>
      </c>
      <c r="I8" s="1">
        <f>H8*AA8</f>
        <v>24.36</v>
      </c>
      <c r="J8" s="1">
        <v>1000</v>
      </c>
      <c r="K8" s="1">
        <f>J8*AA8</f>
        <v>1.218</v>
      </c>
      <c r="M8" s="1">
        <f>L8*AA8</f>
        <v>0</v>
      </c>
      <c r="N8" s="1">
        <v>129000</v>
      </c>
      <c r="O8" s="1">
        <f>N8*AA8</f>
        <v>157.12199999999999</v>
      </c>
      <c r="R8" s="1" t="s">
        <v>26</v>
      </c>
      <c r="Y8" s="1" t="s">
        <v>333</v>
      </c>
      <c r="Z8" s="1">
        <f>B8+D8+F8+H8+J8+L8+N8</f>
        <v>182200</v>
      </c>
      <c r="AA8" s="1">
        <f>0.001218</f>
        <v>0.001218</v>
      </c>
      <c r="AB8" s="2">
        <f>Z8*AA8</f>
        <v>221.91959999999997</v>
      </c>
      <c r="AD8" s="1">
        <v>6</v>
      </c>
      <c r="AF8" s="1" t="s">
        <v>48</v>
      </c>
      <c r="AG8" s="4">
        <f>SUM(M2:M994)</f>
        <v>607.2590538165351</v>
      </c>
      <c r="AI8" s="1" t="s">
        <v>11</v>
      </c>
      <c r="AJ8" s="4">
        <f>AG8/$AG$5</f>
        <v>19.589001736017263</v>
      </c>
      <c r="AL8" s="8" t="s">
        <v>269</v>
      </c>
      <c r="AM8" s="8">
        <f>COUNTA(Q2:Q49)</f>
        <v>0</v>
      </c>
    </row>
    <row r="9" spans="1:39" ht="12.75">
      <c r="A9" s="5">
        <v>42651</v>
      </c>
      <c r="C9" s="1">
        <f>B9*AA9</f>
        <v>0</v>
      </c>
      <c r="D9" s="1">
        <v>38400</v>
      </c>
      <c r="E9" s="1">
        <f>D9*AA9</f>
        <v>46.77119999999999</v>
      </c>
      <c r="F9" s="1">
        <v>7000</v>
      </c>
      <c r="G9" s="1">
        <f>F9*AA9</f>
        <v>8.526</v>
      </c>
      <c r="I9" s="1">
        <f>H9*AA9</f>
        <v>0</v>
      </c>
      <c r="K9" s="1">
        <f>J9*AA9</f>
        <v>0</v>
      </c>
      <c r="M9" s="1">
        <f>L9*AA9</f>
        <v>0</v>
      </c>
      <c r="O9" s="1">
        <f>N9*AA9</f>
        <v>0</v>
      </c>
      <c r="R9" s="1" t="s">
        <v>26</v>
      </c>
      <c r="Y9" s="1" t="s">
        <v>333</v>
      </c>
      <c r="Z9" s="1">
        <f>B9+D9+F9+H9+J9+L9+N9</f>
        <v>45400</v>
      </c>
      <c r="AA9" s="1">
        <f>0.001218</f>
        <v>0.001218</v>
      </c>
      <c r="AB9" s="2">
        <f>Z9*AA9</f>
        <v>55.2972</v>
      </c>
      <c r="AD9" s="1">
        <v>6</v>
      </c>
      <c r="AF9" s="1" t="s">
        <v>50</v>
      </c>
      <c r="AG9" s="4">
        <f>SUM(C2:C994)</f>
        <v>608.1347195826352</v>
      </c>
      <c r="AI9" s="1" t="s">
        <v>1</v>
      </c>
      <c r="AJ9" s="1">
        <f>AG9/$AG$5</f>
        <v>19.617249018794684</v>
      </c>
      <c r="AL9" s="8" t="s">
        <v>334</v>
      </c>
      <c r="AM9" s="8">
        <f>COUNTA(W3:W50)</f>
        <v>2</v>
      </c>
    </row>
    <row r="10" spans="1:36" ht="12.75">
      <c r="A10" s="5">
        <v>42652</v>
      </c>
      <c r="B10" s="1">
        <f>18000*2+1800*2</f>
        <v>39600</v>
      </c>
      <c r="C10" s="1">
        <f>B10*AA10</f>
        <v>48.2328</v>
      </c>
      <c r="D10" s="1">
        <v>1200</v>
      </c>
      <c r="E10" s="1">
        <f>D10*AA10</f>
        <v>1.4615999999999998</v>
      </c>
      <c r="F10" s="1">
        <f>7000+4000</f>
        <v>11000</v>
      </c>
      <c r="G10" s="1">
        <f>F10*AA10</f>
        <v>13.398</v>
      </c>
      <c r="I10" s="1">
        <f>H10*AA10</f>
        <v>0</v>
      </c>
      <c r="K10" s="1">
        <f>J10*AA10</f>
        <v>0</v>
      </c>
      <c r="L10" s="1">
        <v>30000</v>
      </c>
      <c r="M10" s="1">
        <f>L10*AA10</f>
        <v>36.54</v>
      </c>
      <c r="O10" s="1">
        <f>N10*AA10</f>
        <v>0</v>
      </c>
      <c r="R10" s="1" t="s">
        <v>26</v>
      </c>
      <c r="Y10" s="1" t="s">
        <v>335</v>
      </c>
      <c r="Z10" s="1">
        <f>B10+D10+F10+H10+J10+L10+N10</f>
        <v>81800</v>
      </c>
      <c r="AA10" s="1">
        <f>0.001218</f>
        <v>0.001218</v>
      </c>
      <c r="AB10" s="2">
        <f>Z10*AA10</f>
        <v>99.63239999999999</v>
      </c>
      <c r="AD10" s="1">
        <v>6</v>
      </c>
      <c r="AF10" s="1" t="s">
        <v>51</v>
      </c>
      <c r="AG10" s="4">
        <f>SUM(E2:E994)</f>
        <v>568.8968783591096</v>
      </c>
      <c r="AI10" s="1" t="s">
        <v>52</v>
      </c>
      <c r="AJ10" s="1">
        <f>AG10/$AG$5</f>
        <v>18.35151220513257</v>
      </c>
    </row>
    <row r="11" spans="1:36" ht="12.75">
      <c r="A11" s="5">
        <v>42653</v>
      </c>
      <c r="C11" s="1">
        <f>B11*AA11</f>
        <v>0</v>
      </c>
      <c r="D11" s="1">
        <v>22700</v>
      </c>
      <c r="E11" s="1">
        <f>D11*AA11</f>
        <v>27.6486</v>
      </c>
      <c r="F11" s="1">
        <v>10000</v>
      </c>
      <c r="G11" s="1">
        <f>F11*AA11</f>
        <v>12.18</v>
      </c>
      <c r="I11" s="1">
        <f>H11*AA11</f>
        <v>0</v>
      </c>
      <c r="K11" s="1">
        <f>J11*AA11</f>
        <v>0</v>
      </c>
      <c r="L11" s="1">
        <v>30000</v>
      </c>
      <c r="M11" s="1">
        <f>L11*AA11</f>
        <v>36.54</v>
      </c>
      <c r="O11" s="1">
        <f>N11*AA11</f>
        <v>0</v>
      </c>
      <c r="R11" s="1" t="s">
        <v>26</v>
      </c>
      <c r="Y11" s="1" t="s">
        <v>336</v>
      </c>
      <c r="Z11" s="1">
        <f>B11+D11+F11+H11+J11+L11+N11</f>
        <v>62700</v>
      </c>
      <c r="AA11" s="1">
        <f>0.001218</f>
        <v>0.001218</v>
      </c>
      <c r="AB11" s="2">
        <f>Z11*AA11</f>
        <v>76.3686</v>
      </c>
      <c r="AD11" s="1">
        <v>6</v>
      </c>
      <c r="AF11" s="1" t="s">
        <v>54</v>
      </c>
      <c r="AG11" s="4">
        <f>SUM(G2:G994)</f>
        <v>263.69747838767864</v>
      </c>
      <c r="AI11" s="1" t="s">
        <v>55</v>
      </c>
      <c r="AJ11" s="4">
        <f>AG11/$AG$5</f>
        <v>8.50637027057028</v>
      </c>
    </row>
    <row r="12" spans="1:36" ht="12.75">
      <c r="A12" s="5">
        <v>42654</v>
      </c>
      <c r="B12" s="1">
        <v>8400</v>
      </c>
      <c r="C12" s="1">
        <f>B12*AA12</f>
        <v>10.2312</v>
      </c>
      <c r="D12" s="1">
        <f>2200+7800</f>
        <v>10000</v>
      </c>
      <c r="E12" s="1">
        <f>D12*AA12</f>
        <v>12.18</v>
      </c>
      <c r="F12" s="1">
        <v>10000</v>
      </c>
      <c r="G12" s="1">
        <f>F12*AA12</f>
        <v>12.18</v>
      </c>
      <c r="I12" s="1">
        <f>H12*AA12</f>
        <v>0</v>
      </c>
      <c r="K12" s="1">
        <f>J12*AA12</f>
        <v>0</v>
      </c>
      <c r="L12" s="1">
        <f>2*8000</f>
        <v>16000</v>
      </c>
      <c r="M12" s="1">
        <f>L12*AA12</f>
        <v>19.488</v>
      </c>
      <c r="O12" s="1">
        <f>N12*AA12</f>
        <v>0</v>
      </c>
      <c r="P12" s="1" t="s">
        <v>26</v>
      </c>
      <c r="Y12" s="1" t="s">
        <v>337</v>
      </c>
      <c r="Z12" s="1">
        <f>B12+D12+F12+H12+J12+L12+N12</f>
        <v>44400</v>
      </c>
      <c r="AA12" s="1">
        <f>0.001218</f>
        <v>0.001218</v>
      </c>
      <c r="AB12" s="2">
        <f>Z12*AA12</f>
        <v>54.07919999999999</v>
      </c>
      <c r="AD12" s="1">
        <v>6</v>
      </c>
      <c r="AF12" s="1" t="s">
        <v>57</v>
      </c>
      <c r="AG12" s="4">
        <f>SUM(K2:K994)</f>
        <v>11.951333333333334</v>
      </c>
      <c r="AI12" s="1" t="s">
        <v>9</v>
      </c>
      <c r="AJ12" s="4">
        <f>AG12/$AG$5</f>
        <v>0.38552688172043015</v>
      </c>
    </row>
    <row r="13" spans="1:36" ht="12.75">
      <c r="A13" s="5">
        <v>42655</v>
      </c>
      <c r="B13" s="1">
        <f>3600*4+6500*2</f>
        <v>27400</v>
      </c>
      <c r="C13" s="1">
        <f>B13*AA13</f>
        <v>34.25</v>
      </c>
      <c r="D13" s="1">
        <f>1000+2900</f>
        <v>3900</v>
      </c>
      <c r="E13" s="1">
        <f>D13*AA13</f>
        <v>4.875</v>
      </c>
      <c r="F13" s="1">
        <f>6000*2</f>
        <v>12000</v>
      </c>
      <c r="G13" s="1">
        <f>F13*AA13</f>
        <v>15</v>
      </c>
      <c r="I13" s="1">
        <f>H13*AA13</f>
        <v>0</v>
      </c>
      <c r="K13" s="1">
        <f>J13*AA13</f>
        <v>0</v>
      </c>
      <c r="L13" s="1">
        <v>35000</v>
      </c>
      <c r="M13" s="1">
        <f>L13*AA13</f>
        <v>43.75</v>
      </c>
      <c r="O13" s="1">
        <f>N13*AA13</f>
        <v>0</v>
      </c>
      <c r="R13" s="1" t="s">
        <v>26</v>
      </c>
      <c r="Y13" s="1" t="s">
        <v>338</v>
      </c>
      <c r="Z13" s="1">
        <f>B13+D13+F13+H13+J13+L13+N13</f>
        <v>78300</v>
      </c>
      <c r="AA13" s="1">
        <v>0.00125</v>
      </c>
      <c r="AB13" s="2">
        <f>Z13*AA13</f>
        <v>97.875</v>
      </c>
      <c r="AD13" s="1">
        <v>6</v>
      </c>
      <c r="AF13" s="1" t="s">
        <v>58</v>
      </c>
      <c r="AG13" s="1">
        <f>SUM(I2:I994)</f>
        <v>97.86</v>
      </c>
      <c r="AI13" s="1" t="s">
        <v>7</v>
      </c>
      <c r="AJ13" s="4">
        <f>AG13/$AG$5</f>
        <v>3.156774193548387</v>
      </c>
    </row>
    <row r="14" spans="1:33" ht="12.75">
      <c r="A14" s="5">
        <v>42656</v>
      </c>
      <c r="C14" s="1">
        <f>B14*AA14</f>
        <v>0</v>
      </c>
      <c r="D14" s="1">
        <f>19160+2000</f>
        <v>21160</v>
      </c>
      <c r="E14" s="1">
        <f>D14*AA14</f>
        <v>26.45</v>
      </c>
      <c r="G14" s="1">
        <f>F14*AA14</f>
        <v>0</v>
      </c>
      <c r="I14" s="1">
        <f>H14*AA14</f>
        <v>0</v>
      </c>
      <c r="K14" s="1">
        <f>J14*AA14</f>
        <v>0</v>
      </c>
      <c r="L14" s="1">
        <v>35000</v>
      </c>
      <c r="M14" s="1">
        <f>L14*AA14</f>
        <v>43.75</v>
      </c>
      <c r="O14" s="1">
        <f>N14*AA14</f>
        <v>0</v>
      </c>
      <c r="R14" s="1" t="s">
        <v>26</v>
      </c>
      <c r="Y14" s="1" t="s">
        <v>339</v>
      </c>
      <c r="Z14" s="1">
        <f>B14+D14+F14+H14+J14+L14+N14</f>
        <v>56160</v>
      </c>
      <c r="AA14" s="1">
        <v>0.00125</v>
      </c>
      <c r="AB14" s="2">
        <f>Z14*AA14</f>
        <v>70.2</v>
      </c>
      <c r="AD14" s="1">
        <v>6</v>
      </c>
      <c r="AF14" s="1" t="s">
        <v>340</v>
      </c>
      <c r="AG14" s="1">
        <f>SUM(O3:O995)</f>
        <v>172.28866666666664</v>
      </c>
    </row>
    <row r="15" spans="1:33" ht="12.75">
      <c r="A15" s="5">
        <v>42657</v>
      </c>
      <c r="B15" s="1">
        <v>70000</v>
      </c>
      <c r="C15" s="1">
        <f>B15*AA15</f>
        <v>87.5</v>
      </c>
      <c r="D15" s="1">
        <v>15000</v>
      </c>
      <c r="E15" s="1">
        <f>D15*AA15</f>
        <v>18.75</v>
      </c>
      <c r="G15" s="1">
        <f>F15*AA15</f>
        <v>0</v>
      </c>
      <c r="I15" s="1">
        <f>H15*AA15</f>
        <v>0</v>
      </c>
      <c r="K15" s="1">
        <f>J15*AA15</f>
        <v>0</v>
      </c>
      <c r="M15" s="1">
        <f>L15*AA15</f>
        <v>0</v>
      </c>
      <c r="O15" s="1">
        <f>N15*AA15</f>
        <v>0</v>
      </c>
      <c r="R15" s="1" t="s">
        <v>26</v>
      </c>
      <c r="Y15" s="1" t="s">
        <v>341</v>
      </c>
      <c r="Z15" s="1">
        <f>B15+D15+F15+H15+J15+L15+N15</f>
        <v>85000</v>
      </c>
      <c r="AA15" s="1">
        <v>0.00125</v>
      </c>
      <c r="AB15" s="2">
        <f>Z15*AA15</f>
        <v>106.25</v>
      </c>
      <c r="AD15" s="1">
        <v>6</v>
      </c>
      <c r="AF15" s="8"/>
      <c r="AG15" s="8"/>
    </row>
    <row r="16" spans="1:32" ht="12.75">
      <c r="A16" s="5">
        <v>42658</v>
      </c>
      <c r="B16" s="1">
        <f>2150*4</f>
        <v>8600</v>
      </c>
      <c r="C16" s="1">
        <f>B16*AA16</f>
        <v>10.75</v>
      </c>
      <c r="D16" s="1">
        <f>12900+900</f>
        <v>13800</v>
      </c>
      <c r="E16" s="1">
        <f>D16*AA16</f>
        <v>17.25</v>
      </c>
      <c r="F16" s="1">
        <f>4000</f>
        <v>4000</v>
      </c>
      <c r="G16" s="1">
        <f>F16*AA16</f>
        <v>5</v>
      </c>
      <c r="I16" s="1">
        <f>H16*AA16</f>
        <v>0</v>
      </c>
      <c r="K16" s="1">
        <f>J16*AA16</f>
        <v>0</v>
      </c>
      <c r="M16" s="1">
        <f>L16*AA16</f>
        <v>0</v>
      </c>
      <c r="O16" s="1">
        <f>N16*AA16</f>
        <v>0</v>
      </c>
      <c r="R16" s="1" t="s">
        <v>26</v>
      </c>
      <c r="Y16" s="1" t="s">
        <v>342</v>
      </c>
      <c r="Z16" s="1">
        <f>B16+D16+F16+H16+J16+L16+N16</f>
        <v>26400</v>
      </c>
      <c r="AA16" s="1">
        <v>0.00125</v>
      </c>
      <c r="AB16" s="2">
        <f>Z16*AA16</f>
        <v>33</v>
      </c>
      <c r="AD16" s="1">
        <v>6</v>
      </c>
      <c r="AF16" s="8"/>
    </row>
    <row r="17" spans="1:30" ht="12.75">
      <c r="A17" s="5">
        <v>42659</v>
      </c>
      <c r="B17" s="1">
        <f>(2150*6)+4*2000</f>
        <v>20900</v>
      </c>
      <c r="C17" s="1">
        <f>B17*AA17</f>
        <v>26.125</v>
      </c>
      <c r="D17" s="1">
        <v>12300</v>
      </c>
      <c r="E17" s="1">
        <f>D17*AA17</f>
        <v>15.375</v>
      </c>
      <c r="F17" s="1">
        <v>4000</v>
      </c>
      <c r="G17" s="1">
        <f>F17*AA17</f>
        <v>5</v>
      </c>
      <c r="I17" s="1">
        <f>H17*AA17</f>
        <v>0</v>
      </c>
      <c r="K17" s="1">
        <f>J17*AA17</f>
        <v>0</v>
      </c>
      <c r="M17" s="1">
        <f>L17*AA17</f>
        <v>0</v>
      </c>
      <c r="O17" s="1">
        <f>N17*AA17</f>
        <v>0</v>
      </c>
      <c r="R17" s="1" t="s">
        <v>26</v>
      </c>
      <c r="Y17" s="1" t="s">
        <v>342</v>
      </c>
      <c r="Z17" s="1">
        <f>B17+D17+F17+H17+J17+L17+N17</f>
        <v>37200</v>
      </c>
      <c r="AA17" s="1">
        <v>0.00125</v>
      </c>
      <c r="AB17" s="2">
        <f>Z17*AA17</f>
        <v>46.5</v>
      </c>
      <c r="AD17" s="1">
        <v>6</v>
      </c>
    </row>
    <row r="18" spans="1:30" ht="12.75">
      <c r="A18" s="5">
        <v>42660</v>
      </c>
      <c r="C18" s="1">
        <f>B18*AA18</f>
        <v>0</v>
      </c>
      <c r="D18" s="1">
        <v>24900</v>
      </c>
      <c r="E18" s="1">
        <f>D18*AA18</f>
        <v>31.125</v>
      </c>
      <c r="G18" s="1">
        <f>F18*AA18</f>
        <v>0</v>
      </c>
      <c r="I18" s="1">
        <f>H18*AA18</f>
        <v>0</v>
      </c>
      <c r="K18" s="1">
        <f>J18*AA18</f>
        <v>0</v>
      </c>
      <c r="L18" s="1">
        <v>41000</v>
      </c>
      <c r="M18" s="1">
        <f>L18*AA18</f>
        <v>51.25</v>
      </c>
      <c r="O18" s="1">
        <f>N18*AA18</f>
        <v>0</v>
      </c>
      <c r="R18" s="1" t="s">
        <v>26</v>
      </c>
      <c r="Y18" s="1" t="s">
        <v>342</v>
      </c>
      <c r="Z18" s="1">
        <f>B18+D18+F18+H18+J18+L18+N18</f>
        <v>65900</v>
      </c>
      <c r="AA18" s="1">
        <v>0.00125</v>
      </c>
      <c r="AB18" s="2">
        <f>Z18*AA18</f>
        <v>82.375</v>
      </c>
      <c r="AD18" s="1">
        <v>6</v>
      </c>
    </row>
    <row r="19" spans="1:30" ht="12.75">
      <c r="A19" s="5">
        <v>42661</v>
      </c>
      <c r="B19" s="1">
        <v>12900</v>
      </c>
      <c r="C19" s="1">
        <f>B19*AA19</f>
        <v>15.05</v>
      </c>
      <c r="D19" s="1">
        <v>25150</v>
      </c>
      <c r="E19" s="1">
        <f>D19*AA19</f>
        <v>29.34166666666667</v>
      </c>
      <c r="G19" s="1">
        <f>F19*AA19</f>
        <v>0</v>
      </c>
      <c r="I19" s="1">
        <f>H19*AA19</f>
        <v>0</v>
      </c>
      <c r="J19" s="1">
        <v>500</v>
      </c>
      <c r="K19" s="1">
        <f>J19*AA19</f>
        <v>0.5833333333333334</v>
      </c>
      <c r="L19" s="1">
        <v>30000</v>
      </c>
      <c r="M19" s="1">
        <f>L19*AA19</f>
        <v>35</v>
      </c>
      <c r="O19" s="1">
        <f>N19*AA19</f>
        <v>0</v>
      </c>
      <c r="R19" s="1" t="s">
        <v>26</v>
      </c>
      <c r="Y19" s="1" t="s">
        <v>342</v>
      </c>
      <c r="Z19" s="1">
        <f>B19+D19+F19+H19+J19+L19+N19</f>
        <v>68550</v>
      </c>
      <c r="AA19" s="1">
        <f>350/300000</f>
        <v>0.0011666666666666668</v>
      </c>
      <c r="AB19" s="2">
        <f>Z19*AA19</f>
        <v>79.97500000000001</v>
      </c>
      <c r="AD19" s="1">
        <v>6</v>
      </c>
    </row>
    <row r="20" spans="1:30" ht="12.75">
      <c r="A20" s="5">
        <v>42662</v>
      </c>
      <c r="B20" s="1">
        <v>8600</v>
      </c>
      <c r="C20" s="1">
        <f>B20*AA20</f>
        <v>10.033333333333335</v>
      </c>
      <c r="D20" s="1">
        <f>22200+1000</f>
        <v>23200</v>
      </c>
      <c r="E20" s="1">
        <f>D20*AA20</f>
        <v>27.06666666666667</v>
      </c>
      <c r="F20" s="1">
        <v>5000</v>
      </c>
      <c r="G20" s="1">
        <f>F20*AA20</f>
        <v>5.833333333333334</v>
      </c>
      <c r="I20" s="1">
        <f>H20*AA20</f>
        <v>0</v>
      </c>
      <c r="K20" s="1">
        <f>J20*AA20</f>
        <v>0</v>
      </c>
      <c r="L20" s="1">
        <v>30000</v>
      </c>
      <c r="M20" s="1">
        <f>L20*AA20</f>
        <v>35</v>
      </c>
      <c r="O20" s="1">
        <f>N20*AA20</f>
        <v>0</v>
      </c>
      <c r="R20" s="1" t="s">
        <v>26</v>
      </c>
      <c r="Y20" s="1" t="s">
        <v>342</v>
      </c>
      <c r="Z20" s="1">
        <f>B20+D20+F20+H20+J20+L20+N20</f>
        <v>66800</v>
      </c>
      <c r="AA20" s="1">
        <f>350/300000</f>
        <v>0.0011666666666666668</v>
      </c>
      <c r="AB20" s="2">
        <f>Z20*AA20</f>
        <v>77.93333333333334</v>
      </c>
      <c r="AD20" s="1">
        <v>6</v>
      </c>
    </row>
    <row r="21" spans="1:30" ht="12.75">
      <c r="A21" s="5">
        <v>42663</v>
      </c>
      <c r="B21" s="1">
        <v>8600</v>
      </c>
      <c r="C21" s="1">
        <f>B21*AA21</f>
        <v>10.033333333333335</v>
      </c>
      <c r="D21" s="1">
        <v>17150</v>
      </c>
      <c r="E21" s="1">
        <f>D21*AA21</f>
        <v>20.008333333333336</v>
      </c>
      <c r="G21" s="1">
        <f>F21*AA21</f>
        <v>0</v>
      </c>
      <c r="I21" s="1">
        <f>H21*AA21</f>
        <v>0</v>
      </c>
      <c r="K21" s="1">
        <f>J21*AA21</f>
        <v>0</v>
      </c>
      <c r="L21" s="1">
        <v>30000</v>
      </c>
      <c r="M21" s="1">
        <f>L21*AA21</f>
        <v>35</v>
      </c>
      <c r="O21" s="1">
        <f>N21*AA21</f>
        <v>0</v>
      </c>
      <c r="R21" s="1" t="s">
        <v>26</v>
      </c>
      <c r="Y21" s="1" t="s">
        <v>342</v>
      </c>
      <c r="Z21" s="1">
        <f>B21+D21+F21+H21+J21+L21+N21</f>
        <v>55750</v>
      </c>
      <c r="AA21" s="1">
        <f>350/300000</f>
        <v>0.0011666666666666668</v>
      </c>
      <c r="AB21" s="2">
        <f>Z21*AA21</f>
        <v>65.04166666666667</v>
      </c>
      <c r="AD21" s="1">
        <v>6</v>
      </c>
    </row>
    <row r="22" spans="1:30" ht="12.75">
      <c r="A22" s="5">
        <v>42664</v>
      </c>
      <c r="C22" s="1">
        <f>B22*AA22</f>
        <v>0</v>
      </c>
      <c r="D22" s="1">
        <v>7950</v>
      </c>
      <c r="E22" s="1">
        <f>D22*AA22</f>
        <v>9.275</v>
      </c>
      <c r="G22" s="1">
        <f>F22*AA22</f>
        <v>0</v>
      </c>
      <c r="I22" s="1">
        <f>H22*AA22</f>
        <v>0</v>
      </c>
      <c r="J22" s="1">
        <v>2000</v>
      </c>
      <c r="K22" s="1">
        <f>J22*AA22</f>
        <v>2.3333333333333335</v>
      </c>
      <c r="L22" s="1">
        <v>30000</v>
      </c>
      <c r="M22" s="1">
        <f>L22*AA22</f>
        <v>35</v>
      </c>
      <c r="O22" s="1">
        <f>N22*AA22</f>
        <v>0</v>
      </c>
      <c r="R22" s="1" t="s">
        <v>26</v>
      </c>
      <c r="Y22" s="1" t="s">
        <v>342</v>
      </c>
      <c r="Z22" s="1">
        <f>B22+D22+F22+H22+J22+L22+N22</f>
        <v>39950</v>
      </c>
      <c r="AA22" s="1">
        <f>350/300000</f>
        <v>0.0011666666666666668</v>
      </c>
      <c r="AB22" s="2">
        <f>Z22*AA22</f>
        <v>46.608333333333334</v>
      </c>
      <c r="AD22" s="1">
        <v>6</v>
      </c>
    </row>
    <row r="23" spans="1:30" ht="12.75">
      <c r="A23" s="5">
        <v>42665</v>
      </c>
      <c r="B23" s="1">
        <v>8600</v>
      </c>
      <c r="C23" s="1">
        <f>B23*AA23</f>
        <v>10.033333333333335</v>
      </c>
      <c r="D23" s="1">
        <f>4750+23600</f>
        <v>28350</v>
      </c>
      <c r="E23" s="1">
        <f>D23*AA23</f>
        <v>33.075</v>
      </c>
      <c r="F23" s="1">
        <v>2000</v>
      </c>
      <c r="G23" s="1">
        <f>F23*AA23</f>
        <v>2.3333333333333335</v>
      </c>
      <c r="I23" s="1">
        <f>H23*AA23</f>
        <v>0</v>
      </c>
      <c r="K23" s="1">
        <f>J23*AA23</f>
        <v>0</v>
      </c>
      <c r="L23" s="1">
        <v>30000</v>
      </c>
      <c r="M23" s="1">
        <f>L23*AA23</f>
        <v>35</v>
      </c>
      <c r="O23" s="1">
        <f>N23*AA23</f>
        <v>0</v>
      </c>
      <c r="R23" s="1" t="s">
        <v>26</v>
      </c>
      <c r="Y23" s="1" t="s">
        <v>342</v>
      </c>
      <c r="Z23" s="1">
        <f>B23+D23+F23+H23+J23+L23+N23</f>
        <v>68950</v>
      </c>
      <c r="AA23" s="1">
        <f>350/300000</f>
        <v>0.0011666666666666668</v>
      </c>
      <c r="AB23" s="2">
        <f>Z23*AA23</f>
        <v>80.44166666666668</v>
      </c>
      <c r="AD23" s="1">
        <v>6</v>
      </c>
    </row>
    <row r="24" spans="1:30" ht="12.75">
      <c r="A24" s="5">
        <v>42666</v>
      </c>
      <c r="C24" s="1">
        <f>B24*AA24</f>
        <v>0</v>
      </c>
      <c r="D24" s="1">
        <f>7200</f>
        <v>7200</v>
      </c>
      <c r="E24" s="1">
        <f>D24*AA24</f>
        <v>8.4</v>
      </c>
      <c r="G24" s="1">
        <f>F24*AA24</f>
        <v>0</v>
      </c>
      <c r="I24" s="1">
        <f>H24*AA24</f>
        <v>0</v>
      </c>
      <c r="K24" s="1">
        <f>J24*AA24</f>
        <v>0</v>
      </c>
      <c r="L24" s="1">
        <v>30000</v>
      </c>
      <c r="M24" s="1">
        <f>L24*AA24</f>
        <v>35</v>
      </c>
      <c r="O24" s="1">
        <f>N24*AA24</f>
        <v>0</v>
      </c>
      <c r="R24" s="1" t="s">
        <v>26</v>
      </c>
      <c r="Y24" s="1" t="s">
        <v>342</v>
      </c>
      <c r="Z24" s="1">
        <f>B24+D24+F24+H24+J24+L24+N24</f>
        <v>37200</v>
      </c>
      <c r="AA24" s="1">
        <f>350/300000</f>
        <v>0.0011666666666666668</v>
      </c>
      <c r="AB24" s="2">
        <f>Z24*AA24</f>
        <v>43.400000000000006</v>
      </c>
      <c r="AD24" s="1">
        <v>6</v>
      </c>
    </row>
    <row r="25" spans="1:30" ht="12.75">
      <c r="A25" s="5">
        <v>42667</v>
      </c>
      <c r="C25" s="1">
        <f>B25*AA25</f>
        <v>0</v>
      </c>
      <c r="D25" s="1">
        <f>8400+5250</f>
        <v>13650</v>
      </c>
      <c r="E25" s="1">
        <f>D25*AA25</f>
        <v>15.925</v>
      </c>
      <c r="G25" s="1">
        <f>F25*AA25</f>
        <v>0</v>
      </c>
      <c r="I25" s="1">
        <f>H25*AA25</f>
        <v>0</v>
      </c>
      <c r="K25" s="1">
        <f>J25*AA25</f>
        <v>0</v>
      </c>
      <c r="L25" s="1">
        <v>30000</v>
      </c>
      <c r="M25" s="1">
        <f>L25*AA25</f>
        <v>35</v>
      </c>
      <c r="O25" s="1">
        <f>N25*AA25</f>
        <v>0</v>
      </c>
      <c r="R25" s="1" t="s">
        <v>26</v>
      </c>
      <c r="Y25" s="1" t="s">
        <v>342</v>
      </c>
      <c r="Z25" s="1">
        <f>B25+D25+F25+H25+J25+L25+N25</f>
        <v>43650</v>
      </c>
      <c r="AA25" s="1">
        <f>350/300000</f>
        <v>0.0011666666666666668</v>
      </c>
      <c r="AB25" s="2">
        <f>Z25*AA25</f>
        <v>50.925000000000004</v>
      </c>
      <c r="AD25" s="1">
        <v>6</v>
      </c>
    </row>
    <row r="26" spans="1:30" ht="12.75">
      <c r="A26" s="5">
        <v>42668</v>
      </c>
      <c r="C26" s="1">
        <f>B26*AA26</f>
        <v>0</v>
      </c>
      <c r="D26" s="1">
        <f>15100+4700</f>
        <v>19800</v>
      </c>
      <c r="E26" s="1">
        <f>D26*AA26</f>
        <v>23.1</v>
      </c>
      <c r="G26" s="1">
        <f>F26*AA26</f>
        <v>0</v>
      </c>
      <c r="I26" s="1">
        <f>H26*AA26</f>
        <v>0</v>
      </c>
      <c r="K26" s="1">
        <f>J26*AA26</f>
        <v>0</v>
      </c>
      <c r="L26" s="1">
        <v>30000</v>
      </c>
      <c r="M26" s="1">
        <f>L26*AA26</f>
        <v>35</v>
      </c>
      <c r="O26" s="1">
        <f>N26*AA26</f>
        <v>0</v>
      </c>
      <c r="R26" s="1" t="s">
        <v>26</v>
      </c>
      <c r="Y26" s="1" t="s">
        <v>342</v>
      </c>
      <c r="Z26" s="1">
        <f>B26+D26+F26+H26+J26+L26+N26</f>
        <v>49800</v>
      </c>
      <c r="AA26" s="1">
        <f>350/300000</f>
        <v>0.0011666666666666668</v>
      </c>
      <c r="AB26" s="2">
        <f>Z26*AA26</f>
        <v>58.1</v>
      </c>
      <c r="AD26" s="1">
        <v>6</v>
      </c>
    </row>
    <row r="27" spans="1:30" ht="12.75">
      <c r="A27" s="5">
        <v>42669</v>
      </c>
      <c r="B27" s="1">
        <f>13000*2</f>
        <v>26000</v>
      </c>
      <c r="C27" s="1">
        <f>B27*AA27</f>
        <v>30.333333333333336</v>
      </c>
      <c r="E27" s="1">
        <f>D27*AA27</f>
        <v>0</v>
      </c>
      <c r="F27" s="1">
        <f>9000*2</f>
        <v>18000</v>
      </c>
      <c r="G27" s="1">
        <f>F27*AA27</f>
        <v>21</v>
      </c>
      <c r="I27" s="1">
        <f>H27*AA27</f>
        <v>0</v>
      </c>
      <c r="K27" s="1">
        <f>J27*AA27</f>
        <v>0</v>
      </c>
      <c r="M27" s="1">
        <f>L27*AA27</f>
        <v>0</v>
      </c>
      <c r="O27" s="1">
        <f>N27*AA27</f>
        <v>0</v>
      </c>
      <c r="R27" s="1" t="s">
        <v>26</v>
      </c>
      <c r="Y27" s="1" t="s">
        <v>343</v>
      </c>
      <c r="Z27" s="1">
        <f>B27+D27+F27+H27+J27+L27+N27</f>
        <v>44000</v>
      </c>
      <c r="AA27" s="1">
        <f>350/300000</f>
        <v>0.0011666666666666668</v>
      </c>
      <c r="AB27" s="2">
        <f>Z27*AA27</f>
        <v>51.333333333333336</v>
      </c>
      <c r="AD27" s="1">
        <v>6</v>
      </c>
    </row>
    <row r="28" spans="1:30" ht="12.75">
      <c r="A28" s="5">
        <v>42670</v>
      </c>
      <c r="B28" s="1">
        <f>1700*2</f>
        <v>3400</v>
      </c>
      <c r="C28" s="1">
        <f>B28*AA28</f>
        <v>3.966666666666667</v>
      </c>
      <c r="D28" s="1">
        <f>5700+5150</f>
        <v>10850</v>
      </c>
      <c r="E28" s="1">
        <f>D28*AA28</f>
        <v>12.658333333333335</v>
      </c>
      <c r="F28" s="1">
        <f>18000</f>
        <v>18000</v>
      </c>
      <c r="G28" s="1">
        <f>F28*AA28</f>
        <v>21</v>
      </c>
      <c r="H28" s="1">
        <f>15000*2+15000*2+2000+1000</f>
        <v>63000</v>
      </c>
      <c r="I28" s="1">
        <f>H28*AA28</f>
        <v>73.5</v>
      </c>
      <c r="K28" s="1">
        <f>J28*AA28</f>
        <v>0</v>
      </c>
      <c r="M28" s="1">
        <f>L28*AA28</f>
        <v>0</v>
      </c>
      <c r="O28" s="1">
        <f>N28*AA28</f>
        <v>0</v>
      </c>
      <c r="R28" s="1" t="s">
        <v>26</v>
      </c>
      <c r="Y28" s="1" t="s">
        <v>344</v>
      </c>
      <c r="Z28" s="1">
        <f>B28+D28+F28+H28+J28+L28+N28</f>
        <v>95250</v>
      </c>
      <c r="AA28" s="1">
        <f>350/300000</f>
        <v>0.0011666666666666668</v>
      </c>
      <c r="AB28" s="2">
        <f>Z28*AA28</f>
        <v>111.12500000000001</v>
      </c>
      <c r="AD28" s="1">
        <v>6</v>
      </c>
    </row>
    <row r="29" spans="1:30" ht="12.75">
      <c r="A29" s="5">
        <v>42671</v>
      </c>
      <c r="B29" s="1">
        <f>13000*2+50000*2</f>
        <v>126000</v>
      </c>
      <c r="C29" s="1">
        <f>B29*AA29</f>
        <v>147</v>
      </c>
      <c r="D29" s="1">
        <f>3700</f>
        <v>3700</v>
      </c>
      <c r="E29" s="1">
        <f>D29*AA29</f>
        <v>4.316666666666667</v>
      </c>
      <c r="F29" s="1">
        <v>16000</v>
      </c>
      <c r="G29" s="1">
        <f>F29*AA29</f>
        <v>18.666666666666668</v>
      </c>
      <c r="I29" s="1">
        <f>H29*AA29</f>
        <v>0</v>
      </c>
      <c r="J29" s="1">
        <f>5000+1700</f>
        <v>6700</v>
      </c>
      <c r="K29" s="1">
        <f>J29*AA29</f>
        <v>7.816666666666667</v>
      </c>
      <c r="M29" s="1">
        <f>L29*AA29</f>
        <v>0</v>
      </c>
      <c r="N29" s="1">
        <v>13000</v>
      </c>
      <c r="O29" s="1">
        <f>N29*AA29</f>
        <v>15.166666666666668</v>
      </c>
      <c r="W29" s="1" t="s">
        <v>26</v>
      </c>
      <c r="Y29" s="1" t="s">
        <v>345</v>
      </c>
      <c r="Z29" s="1">
        <f>B29+D29+F29+H29+J29+L29+N29</f>
        <v>165400</v>
      </c>
      <c r="AA29" s="1">
        <f>350/300000</f>
        <v>0.0011666666666666668</v>
      </c>
      <c r="AB29" s="2">
        <f>Z29*AA29</f>
        <v>192.96666666666667</v>
      </c>
      <c r="AD29" s="1">
        <v>6</v>
      </c>
    </row>
    <row r="30" spans="1:30" ht="12.75">
      <c r="A30" s="5">
        <v>42672</v>
      </c>
      <c r="B30" s="1">
        <f>4000</f>
        <v>4000</v>
      </c>
      <c r="C30" s="1">
        <f>B30*AA30</f>
        <v>4.666666666666667</v>
      </c>
      <c r="D30" s="1">
        <f>19350</f>
        <v>19350</v>
      </c>
      <c r="E30" s="1">
        <f>D30*AA30</f>
        <v>22.575000000000003</v>
      </c>
      <c r="F30" s="1">
        <v>16000</v>
      </c>
      <c r="G30" s="1">
        <f>F30*AA30</f>
        <v>18.666666666666668</v>
      </c>
      <c r="I30" s="1">
        <f>H30*AA30</f>
        <v>0</v>
      </c>
      <c r="K30" s="1">
        <f>J30*AA30</f>
        <v>0</v>
      </c>
      <c r="M30" s="1">
        <f>L30*AA30</f>
        <v>0</v>
      </c>
      <c r="O30" s="1">
        <f>N30*AA30</f>
        <v>0</v>
      </c>
      <c r="R30" s="1" t="s">
        <v>26</v>
      </c>
      <c r="Y30" s="1" t="s">
        <v>346</v>
      </c>
      <c r="Z30" s="1">
        <f>B30+D30+F30+H30+J30+L30+N30</f>
        <v>39350</v>
      </c>
      <c r="AA30" s="1">
        <f>350/300000</f>
        <v>0.0011666666666666668</v>
      </c>
      <c r="AB30" s="2">
        <f>Z30*AA30</f>
        <v>45.90833333333334</v>
      </c>
      <c r="AD30" s="1">
        <v>6</v>
      </c>
    </row>
    <row r="31" spans="1:30" ht="12.75">
      <c r="A31" s="5">
        <v>42673</v>
      </c>
      <c r="C31" s="1">
        <f>B31*AA31</f>
        <v>0</v>
      </c>
      <c r="D31" s="1">
        <v>20000</v>
      </c>
      <c r="E31" s="1">
        <f>D31*AA31</f>
        <v>23.333333333333336</v>
      </c>
      <c r="F31" s="1">
        <v>15000</v>
      </c>
      <c r="G31" s="1">
        <f>F31*AA31</f>
        <v>17.5</v>
      </c>
      <c r="I31" s="1">
        <f>H31*AA31</f>
        <v>0</v>
      </c>
      <c r="K31" s="1">
        <f>J31*AA31</f>
        <v>0</v>
      </c>
      <c r="M31" s="1">
        <f>L31*AA31</f>
        <v>0</v>
      </c>
      <c r="O31" s="1">
        <f>N31*AA31</f>
        <v>0</v>
      </c>
      <c r="R31" s="1" t="s">
        <v>26</v>
      </c>
      <c r="Y31" s="1" t="s">
        <v>346</v>
      </c>
      <c r="Z31" s="1">
        <f>B31+D31+F31+H31+J31+L31+N31</f>
        <v>35000</v>
      </c>
      <c r="AA31" s="1">
        <f>350/300000</f>
        <v>0.0011666666666666668</v>
      </c>
      <c r="AB31" s="2">
        <f>Z31*AA31</f>
        <v>40.833333333333336</v>
      </c>
      <c r="AD31" s="1">
        <v>6</v>
      </c>
    </row>
    <row r="32" spans="1:30" ht="12.75">
      <c r="A32" s="5">
        <v>42674</v>
      </c>
      <c r="C32" s="1">
        <f>B32*AA32</f>
        <v>0</v>
      </c>
      <c r="D32" s="1">
        <v>12950</v>
      </c>
      <c r="E32" s="1">
        <f>D32*AA32</f>
        <v>15.108333333333334</v>
      </c>
      <c r="G32" s="1">
        <f>F32*AA32</f>
        <v>0</v>
      </c>
      <c r="I32" s="1">
        <f>H32*AA32</f>
        <v>0</v>
      </c>
      <c r="K32" s="1">
        <f>J32*AA32</f>
        <v>0</v>
      </c>
      <c r="M32" s="1">
        <f>L32*AA32</f>
        <v>0</v>
      </c>
      <c r="O32" s="1">
        <f>N32*AA32</f>
        <v>0</v>
      </c>
      <c r="R32" s="1" t="s">
        <v>26</v>
      </c>
      <c r="Y32" s="1" t="s">
        <v>346</v>
      </c>
      <c r="Z32" s="1">
        <f>B32+D32+F32+H32+J32+L32+N32</f>
        <v>12950</v>
      </c>
      <c r="AA32" s="1">
        <f>350/300000</f>
        <v>0.0011666666666666668</v>
      </c>
      <c r="AB32" s="2">
        <f>Z32*AA32</f>
        <v>15.108333333333334</v>
      </c>
      <c r="AD32" s="1">
        <v>6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f>350/300000</f>
        <v>0.0011666666666666668</v>
      </c>
      <c r="AB33" s="2">
        <f>Z33*AA33</f>
        <v>0</v>
      </c>
      <c r="AD33" s="1">
        <v>6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3.49/2800</f>
        <v>0.0012464285714285715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3.49/2800</f>
        <v>0.0012464285714285715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AE1">
      <selection activeCell="AP26" sqref="AP26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6" width="8.57421875" style="1" customWidth="1"/>
    <col min="17" max="17" width="16.710937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9.71093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5.8515625" style="1" customWidth="1"/>
    <col min="39" max="39" width="11.57421875" style="1" customWidth="1"/>
    <col min="40" max="40" width="2.57421875" style="1" customWidth="1"/>
    <col min="41" max="41" width="15.7109375" style="1" customWidth="1"/>
    <col min="42" max="42" width="11.57421875" style="1" customWidth="1"/>
    <col min="43" max="43" width="2.8515625" style="1" customWidth="1"/>
    <col min="44" max="44" width="16.57421875" style="1" customWidth="1"/>
    <col min="45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42675</v>
      </c>
      <c r="C2" s="1">
        <f>B2*AA2</f>
        <v>0</v>
      </c>
      <c r="E2" s="1">
        <f>D2*AA2</f>
        <v>0</v>
      </c>
      <c r="F2" s="1">
        <v>12000</v>
      </c>
      <c r="G2" s="1">
        <f>F2*AA2</f>
        <v>13.237499999999999</v>
      </c>
      <c r="H2" s="1">
        <v>6000</v>
      </c>
      <c r="I2" s="1">
        <f>H2*AA2</f>
        <v>6.6187499999999995</v>
      </c>
      <c r="K2" s="1">
        <f>J2*AA2</f>
        <v>0</v>
      </c>
      <c r="M2" s="1">
        <f>L2*AA2</f>
        <v>0</v>
      </c>
      <c r="O2" s="1">
        <f>N2*AA2</f>
        <v>0</v>
      </c>
      <c r="T2" s="1" t="s">
        <v>26</v>
      </c>
      <c r="Y2" s="1" t="s">
        <v>346</v>
      </c>
      <c r="Z2" s="1">
        <f>B2+D2+F2+H2+J2+L2+N2</f>
        <v>18000</v>
      </c>
      <c r="AA2" s="1">
        <f>441.25/400000</f>
        <v>0.001103125</v>
      </c>
      <c r="AB2" s="2">
        <f>Z2*AA2</f>
        <v>19.85625</v>
      </c>
      <c r="AD2" s="1">
        <v>6</v>
      </c>
      <c r="AF2" s="1" t="s">
        <v>28</v>
      </c>
      <c r="AG2" s="1">
        <f>SUM(AB2:AB994)</f>
        <v>2261.6447301349317</v>
      </c>
      <c r="AI2" s="1" t="s">
        <v>29</v>
      </c>
      <c r="AJ2" s="6">
        <f>AG2/AG5</f>
        <v>75.3881576711644</v>
      </c>
      <c r="AL2" s="1" t="s">
        <v>93</v>
      </c>
      <c r="AM2" s="1">
        <f>COUNTBLANK(L2:L40)-COUNTBLANK(A2:A40)</f>
        <v>6</v>
      </c>
      <c r="AN2" s="7"/>
      <c r="AO2" s="7" t="s">
        <v>318</v>
      </c>
      <c r="AP2" s="7">
        <f>SUMIF(AD2:AD44,"=6",AB2:AB44)</f>
        <v>1858.545</v>
      </c>
      <c r="AQ2" s="7"/>
      <c r="AR2" s="7" t="s">
        <v>347</v>
      </c>
      <c r="AS2" s="7">
        <f>SUMIF(AD2:AD44,"=7",AB2:AB44)</f>
        <v>403.09973013493254</v>
      </c>
    </row>
    <row r="3" spans="1:45" ht="12.75">
      <c r="A3" s="5">
        <v>42676</v>
      </c>
      <c r="C3" s="1">
        <f>B3*AA3</f>
        <v>0</v>
      </c>
      <c r="D3" s="1">
        <v>9900</v>
      </c>
      <c r="E3" s="1">
        <f>D3*AA3</f>
        <v>10.920937499999999</v>
      </c>
      <c r="G3" s="1">
        <f>F3*AA3</f>
        <v>0</v>
      </c>
      <c r="I3" s="1">
        <f>H3*AA3</f>
        <v>0</v>
      </c>
      <c r="K3" s="1">
        <f>J3*AA3</f>
        <v>0</v>
      </c>
      <c r="M3" s="1">
        <f>L3*AA3</f>
        <v>0</v>
      </c>
      <c r="O3" s="1">
        <f>N3*AA3</f>
        <v>0</v>
      </c>
      <c r="T3" s="1" t="s">
        <v>26</v>
      </c>
      <c r="Y3" s="1" t="s">
        <v>346</v>
      </c>
      <c r="Z3" s="1">
        <f>B3+D3+F3+H3+J3+L3+N3</f>
        <v>9900</v>
      </c>
      <c r="AA3" s="1">
        <f>441.25/400000</f>
        <v>0.001103125</v>
      </c>
      <c r="AB3" s="2">
        <f>Z3*AA3</f>
        <v>10.920937499999999</v>
      </c>
      <c r="AD3" s="1">
        <v>6</v>
      </c>
      <c r="AF3" s="8"/>
      <c r="AI3" s="8"/>
      <c r="AJ3" s="9"/>
      <c r="AL3" s="1" t="s">
        <v>95</v>
      </c>
      <c r="AM3" s="1">
        <f>COUNT(L2:L36)</f>
        <v>24</v>
      </c>
      <c r="AO3" s="7" t="s">
        <v>319</v>
      </c>
      <c r="AP3" s="7">
        <f>_xlfn.COUNTIFS(A2:A44,"&lt;&gt;''",AD2:AD44,"=6")</f>
        <v>24</v>
      </c>
      <c r="AQ3" s="7"/>
      <c r="AR3" s="7" t="s">
        <v>348</v>
      </c>
      <c r="AS3" s="7">
        <f>_xlfn.COUNTIFS(A2:A44,"&lt;&gt;''",AD2:AD44,"=7")</f>
        <v>6</v>
      </c>
    </row>
    <row r="4" spans="1:45" ht="12.75">
      <c r="A4" s="5">
        <v>42677</v>
      </c>
      <c r="C4" s="1">
        <f>B4*AA4</f>
        <v>0</v>
      </c>
      <c r="D4" s="1">
        <f>9900+5000</f>
        <v>14900</v>
      </c>
      <c r="E4" s="1">
        <f>D4*AA4</f>
        <v>16.4365625</v>
      </c>
      <c r="F4" s="1">
        <v>13000</v>
      </c>
      <c r="G4" s="1">
        <f>F4*AA4</f>
        <v>14.340625</v>
      </c>
      <c r="I4" s="1">
        <f>H4*AA4</f>
        <v>0</v>
      </c>
      <c r="K4" s="1">
        <f>J4*AA4</f>
        <v>0</v>
      </c>
      <c r="M4" s="1">
        <f>L4*AA4</f>
        <v>0</v>
      </c>
      <c r="O4" s="1">
        <f>N4*AA4</f>
        <v>0</v>
      </c>
      <c r="T4" s="1" t="s">
        <v>26</v>
      </c>
      <c r="Y4" s="1" t="s">
        <v>346</v>
      </c>
      <c r="Z4" s="1">
        <f>B4+D4+F4+H4+J4+L4+N4</f>
        <v>27900</v>
      </c>
      <c r="AA4" s="1">
        <f>441.25/400000</f>
        <v>0.001103125</v>
      </c>
      <c r="AB4" s="2">
        <f>Z4*AA4</f>
        <v>30.777187499999997</v>
      </c>
      <c r="AD4" s="1">
        <v>6</v>
      </c>
      <c r="AL4" s="1" t="s">
        <v>218</v>
      </c>
      <c r="AM4" s="1">
        <f>COUNTA(U2:U49)</f>
        <v>0</v>
      </c>
      <c r="AO4" s="7" t="s">
        <v>320</v>
      </c>
      <c r="AP4" s="7">
        <f>AP2/AP3</f>
        <v>77.439375</v>
      </c>
      <c r="AQ4" s="7"/>
      <c r="AR4" s="7" t="s">
        <v>349</v>
      </c>
      <c r="AS4" s="7">
        <f>AS2/AS3</f>
        <v>67.18328835582209</v>
      </c>
    </row>
    <row r="5" spans="1:39" ht="12.75">
      <c r="A5" s="5">
        <v>42678</v>
      </c>
      <c r="B5" s="1">
        <v>4000</v>
      </c>
      <c r="C5" s="1">
        <f>B5*AA5</f>
        <v>4.4125</v>
      </c>
      <c r="D5" s="1">
        <f>6500+27250</f>
        <v>33750</v>
      </c>
      <c r="E5" s="1">
        <f>D5*AA5</f>
        <v>37.23046875</v>
      </c>
      <c r="G5" s="1">
        <f>F5*AA5</f>
        <v>0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R5" s="1" t="s">
        <v>26</v>
      </c>
      <c r="Y5" s="1" t="s">
        <v>346</v>
      </c>
      <c r="Z5" s="1">
        <f>B5+D5+F5+H5+J5+L5+N5</f>
        <v>37750</v>
      </c>
      <c r="AA5" s="1">
        <f>441.25/400000</f>
        <v>0.001103125</v>
      </c>
      <c r="AB5" s="2">
        <f>Z5*AA5</f>
        <v>41.642968749999994</v>
      </c>
      <c r="AD5" s="1">
        <v>6</v>
      </c>
      <c r="AF5" s="1" t="s">
        <v>42</v>
      </c>
      <c r="AG5" s="1">
        <f>COUNTA(A2:A349)</f>
        <v>30</v>
      </c>
      <c r="AL5" s="8" t="s">
        <v>264</v>
      </c>
      <c r="AM5" s="8">
        <f>COUNTA(P2:P49)</f>
        <v>0</v>
      </c>
    </row>
    <row r="6" spans="1:39" ht="12.75">
      <c r="A6" s="5">
        <v>42679</v>
      </c>
      <c r="C6" s="1">
        <f>B6*AA6</f>
        <v>0</v>
      </c>
      <c r="D6" s="1">
        <f>13000</f>
        <v>13000</v>
      </c>
      <c r="E6" s="1">
        <f>D6*AA6</f>
        <v>14.340625</v>
      </c>
      <c r="G6" s="1">
        <f>F6*AA6</f>
        <v>0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R6" s="1" t="s">
        <v>26</v>
      </c>
      <c r="Y6" s="1" t="s">
        <v>346</v>
      </c>
      <c r="Z6" s="1">
        <f>B6+D6+F6+H6+J6+L6+N6</f>
        <v>13000</v>
      </c>
      <c r="AA6" s="1">
        <f>441.25/400000</f>
        <v>0.001103125</v>
      </c>
      <c r="AB6" s="2">
        <f>Z6*AA6</f>
        <v>14.340625</v>
      </c>
      <c r="AD6" s="1">
        <v>6</v>
      </c>
      <c r="AF6" s="8"/>
      <c r="AL6" s="8" t="s">
        <v>265</v>
      </c>
      <c r="AM6" s="1">
        <f>COUNTA(R2:R49)</f>
        <v>27</v>
      </c>
    </row>
    <row r="7" spans="1:39" ht="12.75">
      <c r="A7" s="5">
        <v>42680</v>
      </c>
      <c r="B7" s="1">
        <v>12000</v>
      </c>
      <c r="C7" s="1">
        <f>B7*AA7</f>
        <v>13.237499999999999</v>
      </c>
      <c r="E7" s="1">
        <f>D7*AA7</f>
        <v>0</v>
      </c>
      <c r="G7" s="1">
        <f>F7*AA7</f>
        <v>0</v>
      </c>
      <c r="I7" s="1">
        <f>H7*AA7</f>
        <v>0</v>
      </c>
      <c r="K7" s="1">
        <f>J7*AA7</f>
        <v>0</v>
      </c>
      <c r="L7" s="1">
        <v>40000</v>
      </c>
      <c r="M7" s="1">
        <f>L7*AA7</f>
        <v>44.125</v>
      </c>
      <c r="O7" s="1">
        <f>N7*AA7</f>
        <v>0</v>
      </c>
      <c r="R7" s="1" t="s">
        <v>26</v>
      </c>
      <c r="Y7" s="1" t="s">
        <v>346</v>
      </c>
      <c r="Z7" s="1">
        <f>B7+D7+F7+H7+J7+L7+N7</f>
        <v>52000</v>
      </c>
      <c r="AA7" s="1">
        <f>441.25/400000</f>
        <v>0.001103125</v>
      </c>
      <c r="AB7" s="2">
        <f>Z7*AA7</f>
        <v>57.3625</v>
      </c>
      <c r="AD7" s="1">
        <v>6</v>
      </c>
      <c r="AI7" s="1" t="s">
        <v>46</v>
      </c>
      <c r="AL7" s="1" t="s">
        <v>16</v>
      </c>
      <c r="AM7" s="1">
        <f>COUNTA(S2:S49)</f>
        <v>0</v>
      </c>
    </row>
    <row r="8" spans="1:39" ht="12.75">
      <c r="A8" s="5">
        <v>42681</v>
      </c>
      <c r="B8" s="1">
        <f>4800*4+4000</f>
        <v>23200</v>
      </c>
      <c r="C8" s="1">
        <f>B8*AA8</f>
        <v>25.592499999999998</v>
      </c>
      <c r="D8" s="1">
        <f>2850+7550</f>
        <v>10400</v>
      </c>
      <c r="E8" s="1">
        <f>D8*AA8</f>
        <v>11.4725</v>
      </c>
      <c r="G8" s="1">
        <f>F8*AA8</f>
        <v>0</v>
      </c>
      <c r="I8" s="1">
        <f>H8*AA8</f>
        <v>0</v>
      </c>
      <c r="J8" s="1">
        <v>500</v>
      </c>
      <c r="K8" s="1">
        <f>J8*AA8</f>
        <v>0.5515625</v>
      </c>
      <c r="L8" s="1">
        <v>40000</v>
      </c>
      <c r="M8" s="1">
        <f>L8*AA8</f>
        <v>44.125</v>
      </c>
      <c r="O8" s="1">
        <f>N8*AA8</f>
        <v>0</v>
      </c>
      <c r="R8" s="1" t="s">
        <v>26</v>
      </c>
      <c r="Y8" s="1" t="s">
        <v>346</v>
      </c>
      <c r="Z8" s="1">
        <f>B8+D8+F8+H8+J8+L8+N8</f>
        <v>74100</v>
      </c>
      <c r="AA8" s="1">
        <f>441.25/400000</f>
        <v>0.001103125</v>
      </c>
      <c r="AB8" s="2">
        <f>Z8*AA8</f>
        <v>81.7415625</v>
      </c>
      <c r="AD8" s="1">
        <v>6</v>
      </c>
      <c r="AF8" s="1" t="s">
        <v>48</v>
      </c>
      <c r="AG8" s="4">
        <f>SUM(M2:M994)</f>
        <v>825.5688952398801</v>
      </c>
      <c r="AI8" s="1" t="s">
        <v>11</v>
      </c>
      <c r="AJ8" s="4">
        <f>AG8/$AG$5</f>
        <v>27.51896317466267</v>
      </c>
      <c r="AL8" s="8" t="s">
        <v>269</v>
      </c>
      <c r="AM8" s="8">
        <f>COUNTA(Q2:Q49)</f>
        <v>0</v>
      </c>
    </row>
    <row r="9" spans="1:39" ht="12.75">
      <c r="A9" s="5">
        <v>42682</v>
      </c>
      <c r="B9" s="1">
        <v>10000</v>
      </c>
      <c r="C9" s="1">
        <f>B9*AA9</f>
        <v>11.03125</v>
      </c>
      <c r="D9" s="1">
        <f>2950+15200</f>
        <v>18150</v>
      </c>
      <c r="E9" s="1">
        <f>D9*AA9</f>
        <v>20.021718749999998</v>
      </c>
      <c r="G9" s="1">
        <f>F9*AA9</f>
        <v>0</v>
      </c>
      <c r="I9" s="1">
        <f>H9*AA9</f>
        <v>0</v>
      </c>
      <c r="J9" s="1">
        <f>800</f>
        <v>800</v>
      </c>
      <c r="K9" s="1">
        <f>J9*AA9</f>
        <v>0.8825</v>
      </c>
      <c r="L9" s="1">
        <v>40000</v>
      </c>
      <c r="M9" s="1">
        <f>L9*AA9</f>
        <v>44.125</v>
      </c>
      <c r="O9" s="1">
        <f>N9*AA9</f>
        <v>0</v>
      </c>
      <c r="R9" s="1" t="s">
        <v>26</v>
      </c>
      <c r="Y9" s="1" t="s">
        <v>346</v>
      </c>
      <c r="Z9" s="1">
        <f>B9+D9+F9+H9+J9+L9+N9</f>
        <v>68950</v>
      </c>
      <c r="AA9" s="1">
        <f>441.25/400000</f>
        <v>0.001103125</v>
      </c>
      <c r="AB9" s="2">
        <f>Z9*AA9</f>
        <v>76.06046875</v>
      </c>
      <c r="AD9" s="1">
        <v>6</v>
      </c>
      <c r="AF9" s="1" t="s">
        <v>50</v>
      </c>
      <c r="AG9" s="4">
        <f>SUM(C2:C994)</f>
        <v>446.2970342953523</v>
      </c>
      <c r="AI9" s="1" t="s">
        <v>1</v>
      </c>
      <c r="AJ9" s="1">
        <f>AG9/$AG$5</f>
        <v>14.876567809845078</v>
      </c>
      <c r="AL9" s="8" t="s">
        <v>334</v>
      </c>
      <c r="AM9" s="8">
        <f>COUNTA(W2:W50)</f>
        <v>0</v>
      </c>
    </row>
    <row r="10" spans="1:39" ht="12.75">
      <c r="A10" s="5">
        <v>42683</v>
      </c>
      <c r="C10" s="1">
        <f>B10*AA10</f>
        <v>0</v>
      </c>
      <c r="D10" s="1">
        <f>32750+14050</f>
        <v>46800</v>
      </c>
      <c r="E10" s="1">
        <f>D10*AA10</f>
        <v>51.62625</v>
      </c>
      <c r="G10" s="1">
        <f>F10*AA10</f>
        <v>0</v>
      </c>
      <c r="I10" s="1">
        <f>H10*AA10</f>
        <v>0</v>
      </c>
      <c r="J10" s="1">
        <v>10900</v>
      </c>
      <c r="K10" s="1">
        <f>J10*AA10</f>
        <v>12.0240625</v>
      </c>
      <c r="L10" s="1">
        <v>40000</v>
      </c>
      <c r="M10" s="1">
        <f>L10*AA10</f>
        <v>44.125</v>
      </c>
      <c r="O10" s="1">
        <f>N10*AA10</f>
        <v>0</v>
      </c>
      <c r="R10" s="1" t="s">
        <v>26</v>
      </c>
      <c r="Y10" s="1" t="s">
        <v>346</v>
      </c>
      <c r="Z10" s="1">
        <f>B10+D10+F10+H10+J10+L10+N10</f>
        <v>97700</v>
      </c>
      <c r="AA10" s="1">
        <f>441.25/400000</f>
        <v>0.001103125</v>
      </c>
      <c r="AB10" s="2">
        <f>Z10*AA10</f>
        <v>107.7753125</v>
      </c>
      <c r="AD10" s="1">
        <v>6</v>
      </c>
      <c r="AF10" s="1" t="s">
        <v>51</v>
      </c>
      <c r="AG10" s="4">
        <f>SUM(E2:E994)</f>
        <v>533.2924386244379</v>
      </c>
      <c r="AI10" s="1" t="s">
        <v>52</v>
      </c>
      <c r="AJ10" s="1">
        <f>AG10/$AG$5</f>
        <v>17.776414620814595</v>
      </c>
      <c r="AL10" s="1" t="s">
        <v>17</v>
      </c>
      <c r="AM10" s="8">
        <f>COUNTA(T2:T51)</f>
        <v>3</v>
      </c>
    </row>
    <row r="11" spans="1:36" ht="12.75">
      <c r="A11" s="5">
        <v>42684</v>
      </c>
      <c r="C11" s="1">
        <f>B11*AA11</f>
        <v>0</v>
      </c>
      <c r="D11" s="1">
        <v>16100</v>
      </c>
      <c r="E11" s="1">
        <f>D11*AA11</f>
        <v>17.760312499999998</v>
      </c>
      <c r="G11" s="1">
        <f>F11*AA11</f>
        <v>0</v>
      </c>
      <c r="I11" s="1">
        <f>H11*AA11</f>
        <v>0</v>
      </c>
      <c r="K11" s="1">
        <f>J11*AA11</f>
        <v>0</v>
      </c>
      <c r="L11" s="1">
        <v>40000</v>
      </c>
      <c r="M11" s="1">
        <f>L11*AA11</f>
        <v>44.125</v>
      </c>
      <c r="O11" s="1">
        <f>N11*AA11</f>
        <v>0</v>
      </c>
      <c r="R11" s="1" t="s">
        <v>26</v>
      </c>
      <c r="Y11" s="1" t="s">
        <v>346</v>
      </c>
      <c r="Z11" s="1">
        <f>B11+D11+F11+H11+J11+L11+N11</f>
        <v>56100</v>
      </c>
      <c r="AA11" s="1">
        <f>441.25/400000</f>
        <v>0.001103125</v>
      </c>
      <c r="AB11" s="2">
        <f>Z11*AA11</f>
        <v>61.8853125</v>
      </c>
      <c r="AD11" s="1">
        <v>6</v>
      </c>
      <c r="AF11" s="1" t="s">
        <v>54</v>
      </c>
      <c r="AG11" s="4">
        <f>SUM(G2:G994)</f>
        <v>245.77962425037484</v>
      </c>
      <c r="AI11" s="1" t="s">
        <v>55</v>
      </c>
      <c r="AJ11" s="4">
        <f>AG11/$AG$5</f>
        <v>8.192654141679162</v>
      </c>
    </row>
    <row r="12" spans="1:36" ht="12.75">
      <c r="A12" s="5">
        <v>42685</v>
      </c>
      <c r="B12" s="1">
        <f>15000*2+6500*2+2000</f>
        <v>45000</v>
      </c>
      <c r="C12" s="1">
        <f>B12*AA12</f>
        <v>49.640625</v>
      </c>
      <c r="D12" s="1">
        <f>9500+1500</f>
        <v>11000</v>
      </c>
      <c r="E12" s="1">
        <f>D12*AA12</f>
        <v>12.134374999999999</v>
      </c>
      <c r="G12" s="1">
        <f>F12*AA12</f>
        <v>0</v>
      </c>
      <c r="I12" s="1">
        <f>H12*AA12</f>
        <v>0</v>
      </c>
      <c r="K12" s="1">
        <f>J12*AA12</f>
        <v>0</v>
      </c>
      <c r="L12" s="1">
        <v>50000</v>
      </c>
      <c r="M12" s="1">
        <f>L12*AA12</f>
        <v>55.15625</v>
      </c>
      <c r="O12" s="1">
        <f>N12*AA12</f>
        <v>0</v>
      </c>
      <c r="R12" s="1" t="s">
        <v>26</v>
      </c>
      <c r="Y12" s="1" t="s">
        <v>350</v>
      </c>
      <c r="Z12" s="1">
        <f>B12+D12+F12+H12+J12+L12+N12</f>
        <v>106000</v>
      </c>
      <c r="AA12" s="1">
        <f>441.25/400000</f>
        <v>0.001103125</v>
      </c>
      <c r="AB12" s="2">
        <f>Z12*AA12</f>
        <v>116.93124999999999</v>
      </c>
      <c r="AD12" s="1">
        <v>6</v>
      </c>
      <c r="AF12" s="1" t="s">
        <v>57</v>
      </c>
      <c r="AG12" s="4">
        <f>SUM(K2:K994)</f>
        <v>14.357675224887554</v>
      </c>
      <c r="AI12" s="1" t="s">
        <v>9</v>
      </c>
      <c r="AJ12" s="4">
        <f>AG12/$AG$5</f>
        <v>0.47858917416291846</v>
      </c>
    </row>
    <row r="13" spans="1:36" ht="12.75">
      <c r="A13" s="5">
        <v>42686</v>
      </c>
      <c r="B13"/>
      <c r="C13" s="1">
        <f>D13*AA13</f>
        <v>13.899375</v>
      </c>
      <c r="D13" s="1">
        <f>2600+9500+500</f>
        <v>12600</v>
      </c>
      <c r="E13" s="1">
        <f>D13*AA13</f>
        <v>13.899375</v>
      </c>
      <c r="G13" s="1">
        <f>F13*AA13</f>
        <v>0</v>
      </c>
      <c r="I13" s="1">
        <f>H13*AA13</f>
        <v>0</v>
      </c>
      <c r="K13" s="1">
        <f>J13*AA13</f>
        <v>0</v>
      </c>
      <c r="L13" s="1">
        <v>50000</v>
      </c>
      <c r="M13" s="1">
        <f>L13*AA13</f>
        <v>55.15625</v>
      </c>
      <c r="O13" s="1">
        <f>N13*AA13</f>
        <v>0</v>
      </c>
      <c r="R13" s="1" t="s">
        <v>26</v>
      </c>
      <c r="Y13" s="1" t="s">
        <v>351</v>
      </c>
      <c r="Z13" s="1">
        <f>D13+D13+F13+H13+J13+L13+N13</f>
        <v>75200</v>
      </c>
      <c r="AA13" s="1">
        <f>441.25/400000</f>
        <v>0.001103125</v>
      </c>
      <c r="AB13" s="2">
        <f>Z13*AA13</f>
        <v>82.955</v>
      </c>
      <c r="AD13" s="1">
        <v>6</v>
      </c>
      <c r="AF13" s="1" t="s">
        <v>58</v>
      </c>
      <c r="AG13" s="1">
        <f>SUM(I2:I994)</f>
        <v>189.17875</v>
      </c>
      <c r="AI13" s="1" t="s">
        <v>7</v>
      </c>
      <c r="AJ13" s="4">
        <f>AG13/$AG$5</f>
        <v>6.305958333333334</v>
      </c>
    </row>
    <row r="14" spans="1:30" ht="12.75">
      <c r="A14" s="5">
        <v>42687</v>
      </c>
      <c r="B14" s="1">
        <f>6500*2+15000*2</f>
        <v>43000</v>
      </c>
      <c r="C14" s="1">
        <f>B14*AA14</f>
        <v>47.434374999999996</v>
      </c>
      <c r="D14" s="1">
        <f>1600</f>
        <v>1600</v>
      </c>
      <c r="E14" s="1">
        <f>D14*AA14</f>
        <v>1.765</v>
      </c>
      <c r="F14" s="1">
        <f>8000*2</f>
        <v>16000</v>
      </c>
      <c r="G14" s="1">
        <f>F14*AA14</f>
        <v>17.65</v>
      </c>
      <c r="I14" s="1">
        <f>H14*AA14</f>
        <v>0</v>
      </c>
      <c r="K14" s="1">
        <f>J14*AA14</f>
        <v>0</v>
      </c>
      <c r="L14" s="1">
        <v>40000</v>
      </c>
      <c r="M14" s="1">
        <f>L14*AA14</f>
        <v>44.125</v>
      </c>
      <c r="O14" s="1">
        <f>N14*AA14</f>
        <v>0</v>
      </c>
      <c r="R14" s="1" t="s">
        <v>26</v>
      </c>
      <c r="Y14" s="1" t="s">
        <v>352</v>
      </c>
      <c r="Z14" s="1">
        <f>B14+D14+F14+H14+J14+L14+N14</f>
        <v>100600</v>
      </c>
      <c r="AA14" s="1">
        <f>441.25/400000</f>
        <v>0.001103125</v>
      </c>
      <c r="AB14" s="2">
        <f>Z14*AA14</f>
        <v>110.974375</v>
      </c>
      <c r="AD14" s="1">
        <v>6</v>
      </c>
    </row>
    <row r="15" spans="1:33" ht="12.75">
      <c r="A15" s="5">
        <v>42688</v>
      </c>
      <c r="B15" s="1">
        <f>6500*2</f>
        <v>13000</v>
      </c>
      <c r="C15" s="1">
        <f>B15*AA15</f>
        <v>14.340625</v>
      </c>
      <c r="D15" s="1">
        <v>7700</v>
      </c>
      <c r="E15" s="1">
        <f>D15*AA15</f>
        <v>8.4940625</v>
      </c>
      <c r="G15" s="1">
        <f>F15*AA15</f>
        <v>0</v>
      </c>
      <c r="I15" s="1">
        <f>H15*AA15</f>
        <v>0</v>
      </c>
      <c r="K15" s="1">
        <f>J15*AA15</f>
        <v>0</v>
      </c>
      <c r="L15" s="1">
        <v>30000</v>
      </c>
      <c r="M15" s="1">
        <f>L15*AA15</f>
        <v>33.09375</v>
      </c>
      <c r="O15" s="1">
        <f>N15*AA15</f>
        <v>0</v>
      </c>
      <c r="R15" s="1" t="s">
        <v>26</v>
      </c>
      <c r="Y15" s="1" t="s">
        <v>353</v>
      </c>
      <c r="Z15" s="1">
        <f>B15+D15+F15+H15+J15+L15+N15</f>
        <v>50700</v>
      </c>
      <c r="AA15" s="1">
        <f>441.25/400000</f>
        <v>0.001103125</v>
      </c>
      <c r="AB15" s="2">
        <f>Z15*AA15</f>
        <v>55.928437499999994</v>
      </c>
      <c r="AD15" s="1">
        <v>6</v>
      </c>
      <c r="AF15" s="8"/>
      <c r="AG15" s="8"/>
    </row>
    <row r="16" spans="1:32" ht="12.75">
      <c r="A16" s="5">
        <v>42689</v>
      </c>
      <c r="C16" s="1">
        <f>B16*AA16</f>
        <v>0</v>
      </c>
      <c r="D16" s="1">
        <f>10800+5000</f>
        <v>15800</v>
      </c>
      <c r="E16" s="1">
        <f>D16*AA16</f>
        <v>17.429375</v>
      </c>
      <c r="F16" s="1">
        <v>14000</v>
      </c>
      <c r="G16" s="1">
        <f>F16*AA16</f>
        <v>15.44375</v>
      </c>
      <c r="I16" s="1">
        <f>H16*AA16</f>
        <v>0</v>
      </c>
      <c r="K16" s="1">
        <f>J16*AA16</f>
        <v>0</v>
      </c>
      <c r="L16" s="1">
        <v>30000</v>
      </c>
      <c r="M16" s="1">
        <f>L16*AA16</f>
        <v>33.09375</v>
      </c>
      <c r="O16" s="1">
        <f>N16*AA16</f>
        <v>0</v>
      </c>
      <c r="R16" s="1" t="s">
        <v>26</v>
      </c>
      <c r="Y16" s="1" t="s">
        <v>354</v>
      </c>
      <c r="Z16" s="1">
        <f>B16+D16+F16+H16+J16+L16+N16</f>
        <v>59800</v>
      </c>
      <c r="AA16" s="1">
        <f>441.25/400000</f>
        <v>0.001103125</v>
      </c>
      <c r="AB16" s="2">
        <f>Z16*AA16</f>
        <v>65.966875</v>
      </c>
      <c r="AD16" s="1">
        <v>6</v>
      </c>
      <c r="AF16" s="8"/>
    </row>
    <row r="17" spans="1:30" ht="12.75">
      <c r="A17" s="5">
        <v>42690</v>
      </c>
      <c r="C17" s="1">
        <f>B17*AA17</f>
        <v>0</v>
      </c>
      <c r="D17" s="1">
        <f>8150+2000</f>
        <v>10150</v>
      </c>
      <c r="E17" s="1">
        <f>D17*AA17</f>
        <v>11.196718749999999</v>
      </c>
      <c r="F17" s="1">
        <v>14000</v>
      </c>
      <c r="G17" s="1">
        <f>F17*AA17</f>
        <v>15.44375</v>
      </c>
      <c r="I17" s="1">
        <f>H17*AA17</f>
        <v>0</v>
      </c>
      <c r="K17" s="1">
        <f>J17*AA17</f>
        <v>0</v>
      </c>
      <c r="L17" s="1">
        <v>30000</v>
      </c>
      <c r="M17" s="1">
        <f>L17*AA17</f>
        <v>33.09375</v>
      </c>
      <c r="O17" s="1">
        <f>N17*AA17</f>
        <v>0</v>
      </c>
      <c r="R17" s="1" t="s">
        <v>26</v>
      </c>
      <c r="Y17" s="1" t="s">
        <v>354</v>
      </c>
      <c r="Z17" s="1">
        <f>B17+D17+F17+H17+J17+L17+N17</f>
        <v>54150</v>
      </c>
      <c r="AA17" s="1">
        <f>441.25/400000</f>
        <v>0.001103125</v>
      </c>
      <c r="AB17" s="2">
        <f>Z17*AA17</f>
        <v>59.73421875</v>
      </c>
      <c r="AD17" s="1">
        <v>6</v>
      </c>
    </row>
    <row r="18" spans="1:30" ht="12.75">
      <c r="A18" s="5">
        <v>42691</v>
      </c>
      <c r="C18" s="1">
        <f>B18*AA18</f>
        <v>0</v>
      </c>
      <c r="D18" s="1">
        <f>5500+4000</f>
        <v>9500</v>
      </c>
      <c r="E18" s="1">
        <f>D18*AA18</f>
        <v>10.479687499999999</v>
      </c>
      <c r="F18" s="1">
        <v>13000</v>
      </c>
      <c r="G18" s="1">
        <f>F18*AA18</f>
        <v>14.340625</v>
      </c>
      <c r="I18" s="1">
        <f>H18*AA18</f>
        <v>0</v>
      </c>
      <c r="K18" s="1">
        <f>J18*AA18</f>
        <v>0</v>
      </c>
      <c r="L18" s="1">
        <v>20000</v>
      </c>
      <c r="M18" s="1">
        <f>L18*AA18</f>
        <v>22.0625</v>
      </c>
      <c r="O18" s="1">
        <f>N18*AA18</f>
        <v>0</v>
      </c>
      <c r="R18" s="1" t="s">
        <v>26</v>
      </c>
      <c r="Y18" s="1" t="s">
        <v>354</v>
      </c>
      <c r="Z18" s="1">
        <f>B18+D18+F18+H18+J18+L18+N18</f>
        <v>42500</v>
      </c>
      <c r="AA18" s="1">
        <f>441.25/400000</f>
        <v>0.001103125</v>
      </c>
      <c r="AB18" s="2">
        <f>Z18*AA18</f>
        <v>46.8828125</v>
      </c>
      <c r="AD18" s="1">
        <v>6</v>
      </c>
    </row>
    <row r="19" spans="1:30" ht="12.75">
      <c r="A19" s="5">
        <v>42692</v>
      </c>
      <c r="B19" s="1">
        <f>6500*2+20000*2+4000</f>
        <v>57000</v>
      </c>
      <c r="C19" s="1">
        <f>B19*AA19</f>
        <v>62.878125</v>
      </c>
      <c r="D19" s="1">
        <v>9250</v>
      </c>
      <c r="E19" s="1">
        <f>D19*AA19</f>
        <v>10.20390625</v>
      </c>
      <c r="F19" s="1">
        <v>12000</v>
      </c>
      <c r="G19" s="1">
        <f>F19*AA19</f>
        <v>13.237499999999999</v>
      </c>
      <c r="I19" s="1">
        <f>H19*AA19</f>
        <v>0</v>
      </c>
      <c r="K19" s="1">
        <f>J19*AA19</f>
        <v>0</v>
      </c>
      <c r="L19" s="1">
        <v>40000</v>
      </c>
      <c r="M19" s="1">
        <f>L19*AA19</f>
        <v>44.125</v>
      </c>
      <c r="O19" s="1">
        <f>N19*AA19</f>
        <v>0</v>
      </c>
      <c r="R19" s="1" t="s">
        <v>26</v>
      </c>
      <c r="Y19" s="1" t="s">
        <v>355</v>
      </c>
      <c r="Z19" s="1">
        <f>B19+D19+F19+H19+J19+L19+N19</f>
        <v>118250</v>
      </c>
      <c r="AA19" s="1">
        <f>441.25/400000</f>
        <v>0.001103125</v>
      </c>
      <c r="AB19" s="2">
        <f>Z19*AA19</f>
        <v>130.44453124999998</v>
      </c>
      <c r="AD19" s="1">
        <v>6</v>
      </c>
    </row>
    <row r="20" spans="1:30" ht="12.75">
      <c r="A20" s="5">
        <v>42693</v>
      </c>
      <c r="C20" s="1">
        <f>B20*AA20</f>
        <v>0</v>
      </c>
      <c r="D20" s="1">
        <v>9100</v>
      </c>
      <c r="E20" s="1">
        <f>D20*AA20</f>
        <v>10.038437499999999</v>
      </c>
      <c r="F20" s="1">
        <v>13000</v>
      </c>
      <c r="G20" s="1">
        <f>F20*AA20</f>
        <v>14.340625</v>
      </c>
      <c r="I20" s="1">
        <f>H20*AA20</f>
        <v>0</v>
      </c>
      <c r="K20" s="1">
        <f>J20*AA20</f>
        <v>0</v>
      </c>
      <c r="L20" s="1">
        <v>40000</v>
      </c>
      <c r="M20" s="1">
        <f>L20*AA20</f>
        <v>44.125</v>
      </c>
      <c r="N20" s="1">
        <v>6500</v>
      </c>
      <c r="O20" s="1">
        <f>N20*AA20</f>
        <v>7.1703125</v>
      </c>
      <c r="R20" s="1" t="s">
        <v>26</v>
      </c>
      <c r="Y20" s="1" t="s">
        <v>356</v>
      </c>
      <c r="Z20" s="1">
        <f>B20+D20+F20+H20+J20+L20+N20</f>
        <v>68600</v>
      </c>
      <c r="AA20" s="1">
        <f>441.25/400000</f>
        <v>0.001103125</v>
      </c>
      <c r="AB20" s="2">
        <f>Z20*AA20</f>
        <v>75.674375</v>
      </c>
      <c r="AD20" s="1">
        <v>6</v>
      </c>
    </row>
    <row r="21" spans="1:30" ht="12.75">
      <c r="A21" s="5">
        <v>42694</v>
      </c>
      <c r="C21" s="1">
        <f>B21*AA21</f>
        <v>0</v>
      </c>
      <c r="D21" s="1">
        <v>17800</v>
      </c>
      <c r="E21" s="1">
        <f>D21*AA21</f>
        <v>19.635624999999997</v>
      </c>
      <c r="F21" s="1">
        <v>13000</v>
      </c>
      <c r="G21" s="1">
        <f>F21*AA21</f>
        <v>14.340625</v>
      </c>
      <c r="I21" s="1">
        <f>H21*AA21</f>
        <v>0</v>
      </c>
      <c r="K21" s="1">
        <f>J21*AA21</f>
        <v>0</v>
      </c>
      <c r="L21" s="1">
        <v>40000</v>
      </c>
      <c r="M21" s="1">
        <f>L21*AA21</f>
        <v>44.125</v>
      </c>
      <c r="O21" s="1">
        <f>N21*AA21</f>
        <v>0</v>
      </c>
      <c r="R21" s="1" t="s">
        <v>26</v>
      </c>
      <c r="Y21" s="1" t="s">
        <v>356</v>
      </c>
      <c r="Z21" s="1">
        <f>B21+D21+F21+H21+J21+L21+N21</f>
        <v>70800</v>
      </c>
      <c r="AA21" s="1">
        <f>441.25/400000</f>
        <v>0.001103125</v>
      </c>
      <c r="AB21" s="2">
        <f>Z21*AA21</f>
        <v>78.10125</v>
      </c>
      <c r="AD21" s="1">
        <v>6</v>
      </c>
    </row>
    <row r="22" spans="1:30" ht="12.75">
      <c r="A22" s="5">
        <v>42695</v>
      </c>
      <c r="B22" s="1">
        <f>2000*2+25000*2+14000*2</f>
        <v>82000</v>
      </c>
      <c r="C22" s="1">
        <f>B22*AA22</f>
        <v>90.45625</v>
      </c>
      <c r="D22" s="1">
        <v>7300</v>
      </c>
      <c r="E22" s="1">
        <f>D22*AA22</f>
        <v>8.0528125</v>
      </c>
      <c r="F22" s="1">
        <v>10000</v>
      </c>
      <c r="G22" s="1">
        <f>F22*AA22</f>
        <v>11.03125</v>
      </c>
      <c r="I22" s="1">
        <f>H22*AA22</f>
        <v>0</v>
      </c>
      <c r="K22" s="1">
        <f>J22*AA22</f>
        <v>0</v>
      </c>
      <c r="L22" s="1">
        <v>35000</v>
      </c>
      <c r="M22" s="1">
        <f>L22*AA22</f>
        <v>38.609375</v>
      </c>
      <c r="O22" s="1">
        <f>N22*AA22</f>
        <v>0</v>
      </c>
      <c r="R22" s="1" t="s">
        <v>26</v>
      </c>
      <c r="Y22" s="1" t="s">
        <v>357</v>
      </c>
      <c r="Z22" s="1">
        <f>B22+D22+F22+H22+J22+L22+N22</f>
        <v>134300</v>
      </c>
      <c r="AA22" s="1">
        <f>441.25/400000</f>
        <v>0.001103125</v>
      </c>
      <c r="AB22" s="2">
        <f>Z22*AA22</f>
        <v>148.1496875</v>
      </c>
      <c r="AD22" s="1">
        <v>6</v>
      </c>
    </row>
    <row r="23" spans="1:30" ht="12.75">
      <c r="A23" s="5">
        <v>42696</v>
      </c>
      <c r="B23" s="1">
        <f>6000*4</f>
        <v>24000</v>
      </c>
      <c r="C23" s="1">
        <f>B23*AA23</f>
        <v>26.474999999999998</v>
      </c>
      <c r="D23" s="1">
        <v>13850</v>
      </c>
      <c r="E23" s="1">
        <f>D23*AA23</f>
        <v>15.27828125</v>
      </c>
      <c r="F23" s="1">
        <v>10000</v>
      </c>
      <c r="G23" s="1">
        <f>F23*AA23</f>
        <v>11.03125</v>
      </c>
      <c r="I23" s="1">
        <f>H23*AA23</f>
        <v>0</v>
      </c>
      <c r="K23" s="1">
        <f>J23*AA23</f>
        <v>0</v>
      </c>
      <c r="L23" s="1">
        <v>35000</v>
      </c>
      <c r="M23" s="1">
        <f>L23*AA23</f>
        <v>38.609375</v>
      </c>
      <c r="O23" s="1">
        <f>N23*AA23</f>
        <v>0</v>
      </c>
      <c r="R23" s="1" t="s">
        <v>26</v>
      </c>
      <c r="Y23" s="1" t="s">
        <v>358</v>
      </c>
      <c r="Z23" s="1">
        <f>B23+D23+F23+H23+J23+L23+N23</f>
        <v>82850</v>
      </c>
      <c r="AA23" s="1">
        <f>441.25/400000</f>
        <v>0.001103125</v>
      </c>
      <c r="AB23" s="2">
        <f>Z23*AA23</f>
        <v>91.39390625</v>
      </c>
      <c r="AD23" s="1">
        <v>6</v>
      </c>
    </row>
    <row r="24" spans="1:30" ht="12.75">
      <c r="A24" s="5">
        <v>42697</v>
      </c>
      <c r="B24" s="1">
        <v>60000</v>
      </c>
      <c r="C24" s="1">
        <f>B24*AA24</f>
        <v>66.1875</v>
      </c>
      <c r="D24" s="1">
        <f>57650+10000+1000+2000</f>
        <v>70650</v>
      </c>
      <c r="E24" s="1">
        <f>D24*AA24</f>
        <v>77.93578124999999</v>
      </c>
      <c r="F24" s="1">
        <v>13000</v>
      </c>
      <c r="G24" s="1">
        <f>F24*AA24</f>
        <v>14.340625</v>
      </c>
      <c r="I24" s="1">
        <f>H24*AA24</f>
        <v>0</v>
      </c>
      <c r="K24" s="1">
        <f>J24*AA24</f>
        <v>0</v>
      </c>
      <c r="L24" s="1">
        <v>35000</v>
      </c>
      <c r="M24" s="1">
        <f>L24*AA24</f>
        <v>38.609375</v>
      </c>
      <c r="O24" s="1">
        <f>N24*AA24</f>
        <v>0</v>
      </c>
      <c r="R24" s="1" t="s">
        <v>26</v>
      </c>
      <c r="Y24" s="1" t="s">
        <v>359</v>
      </c>
      <c r="Z24" s="1">
        <f>B24+D24+F24+H24+J24+L24+N24</f>
        <v>178650</v>
      </c>
      <c r="AA24" s="1">
        <f>441.25/400000</f>
        <v>0.001103125</v>
      </c>
      <c r="AB24" s="2">
        <f>Z24*AA24</f>
        <v>197.07328124999998</v>
      </c>
      <c r="AD24" s="1">
        <v>6</v>
      </c>
    </row>
    <row r="25" spans="1:30" ht="12.75">
      <c r="A25" s="5">
        <v>42698</v>
      </c>
      <c r="B25" s="1">
        <f>1600*2</f>
        <v>3200</v>
      </c>
      <c r="C25" s="1">
        <f>B25*AA25</f>
        <v>3.53</v>
      </c>
      <c r="D25" s="1">
        <v>83800</v>
      </c>
      <c r="E25" s="1">
        <f>D25*AA25</f>
        <v>92.441875</v>
      </c>
      <c r="G25" s="1">
        <f>F25*AA25</f>
        <v>0</v>
      </c>
      <c r="I25" s="1">
        <f>H25*AA25</f>
        <v>0</v>
      </c>
      <c r="K25" s="1">
        <f>J25*AA25</f>
        <v>0</v>
      </c>
      <c r="M25" s="1">
        <f>L25*AA25</f>
        <v>0</v>
      </c>
      <c r="O25" s="1">
        <f>N25*AA25</f>
        <v>0</v>
      </c>
      <c r="R25" s="1" t="s">
        <v>26</v>
      </c>
      <c r="Z25" s="1">
        <f>B25+D25+F25+H25+J25+L25+N25</f>
        <v>87000</v>
      </c>
      <c r="AA25" s="1">
        <f>441.25/400000</f>
        <v>0.001103125</v>
      </c>
      <c r="AB25" s="2">
        <f>Z25*AA25</f>
        <v>95.971875</v>
      </c>
      <c r="AD25" s="1">
        <v>6</v>
      </c>
    </row>
    <row r="26" spans="1:30" ht="12.75">
      <c r="A26" s="5"/>
      <c r="B26" s="1">
        <v>4000</v>
      </c>
      <c r="C26" s="1">
        <f>B26*AA26</f>
        <v>5.997001499250374</v>
      </c>
      <c r="D26" s="1">
        <f>1000</f>
        <v>1000</v>
      </c>
      <c r="E26" s="1">
        <f>D26*AA26</f>
        <v>1.4992503748125936</v>
      </c>
      <c r="F26" s="1">
        <f>6500+13500</f>
        <v>20000</v>
      </c>
      <c r="G26" s="1">
        <f>F26*AA26</f>
        <v>29.985007496251875</v>
      </c>
      <c r="I26" s="1">
        <f>H26*AA26</f>
        <v>0</v>
      </c>
      <c r="K26" s="1">
        <f>J26*AA26</f>
        <v>0</v>
      </c>
      <c r="L26" s="1">
        <v>8000</v>
      </c>
      <c r="M26" s="1">
        <f>L26*AA26</f>
        <v>11.994002998500749</v>
      </c>
      <c r="O26" s="1">
        <f>N26*AA26</f>
        <v>0</v>
      </c>
      <c r="Y26" s="1" t="s">
        <v>360</v>
      </c>
      <c r="Z26" s="1">
        <f>B26+D26+F26+H26+J26+L26+N26</f>
        <v>33000</v>
      </c>
      <c r="AA26" s="1">
        <f>1/667</f>
        <v>0.0014992503748125937</v>
      </c>
      <c r="AB26" s="2">
        <f>Z26*AA26</f>
        <v>49.47526236881559</v>
      </c>
      <c r="AD26" s="1">
        <v>7</v>
      </c>
    </row>
    <row r="27" spans="1:30" ht="12.75">
      <c r="A27" s="5">
        <v>42699</v>
      </c>
      <c r="B27" s="1">
        <f>5000+1100</f>
        <v>6100</v>
      </c>
      <c r="C27" s="1">
        <f>B27*AA27</f>
        <v>9.14542728635682</v>
      </c>
      <c r="D27" s="1">
        <f>1000+700+2100</f>
        <v>3800</v>
      </c>
      <c r="E27" s="1">
        <f>D27*AA27</f>
        <v>5.697151424287856</v>
      </c>
      <c r="F27" s="1">
        <f>2300+4800</f>
        <v>7100</v>
      </c>
      <c r="G27" s="1">
        <f>F27*AA27</f>
        <v>10.644677661169416</v>
      </c>
      <c r="I27" s="1">
        <f>H27*AA27</f>
        <v>0</v>
      </c>
      <c r="K27" s="1">
        <f>J27*AA27</f>
        <v>0</v>
      </c>
      <c r="L27" s="1">
        <v>6000</v>
      </c>
      <c r="M27" s="1">
        <f>L27*AA27</f>
        <v>8.995502248875562</v>
      </c>
      <c r="O27" s="1">
        <f>N27*AA27</f>
        <v>0</v>
      </c>
      <c r="R27" s="1" t="s">
        <v>26</v>
      </c>
      <c r="Y27" s="1" t="s">
        <v>361</v>
      </c>
      <c r="Z27" s="1">
        <f>B27+D27+F27+H27+J27+L27+N27</f>
        <v>23000</v>
      </c>
      <c r="AA27" s="1">
        <f>1/667</f>
        <v>0.0014992503748125937</v>
      </c>
      <c r="AB27" s="2">
        <f>Z27*AA27</f>
        <v>34.48275862068965</v>
      </c>
      <c r="AD27" s="1">
        <v>7</v>
      </c>
    </row>
    <row r="28" spans="1:30" ht="12.75">
      <c r="A28" s="5">
        <v>42700</v>
      </c>
      <c r="B28" s="1">
        <f>120+120</f>
        <v>240</v>
      </c>
      <c r="C28" s="1">
        <f>B28*AA28</f>
        <v>0.35982008995502246</v>
      </c>
      <c r="D28" s="1">
        <f>300+350+500+800+320+160+1100</f>
        <v>3530</v>
      </c>
      <c r="E28" s="1">
        <f>D28*AA28</f>
        <v>5.2923538230884555</v>
      </c>
      <c r="F28" s="1">
        <v>5000</v>
      </c>
      <c r="G28" s="1">
        <f>F28*AA28</f>
        <v>7.496251874062969</v>
      </c>
      <c r="I28" s="1">
        <f>H28*AA28</f>
        <v>0</v>
      </c>
      <c r="K28" s="1">
        <f>J28*AA28</f>
        <v>0</v>
      </c>
      <c r="L28" s="1">
        <v>10000</v>
      </c>
      <c r="M28" s="1">
        <f>L28*AA28</f>
        <v>14.992503748125937</v>
      </c>
      <c r="O28" s="1">
        <f>N28*AA28</f>
        <v>0</v>
      </c>
      <c r="R28" s="1" t="s">
        <v>26</v>
      </c>
      <c r="Y28" s="1" t="s">
        <v>362</v>
      </c>
      <c r="Z28" s="1">
        <f>B28+D28+F28+H28+J28+L28+N28</f>
        <v>18770</v>
      </c>
      <c r="AA28" s="1">
        <f>1/667</f>
        <v>0.0014992503748125937</v>
      </c>
      <c r="AB28" s="2">
        <f>Z28*AA28</f>
        <v>28.140929535232384</v>
      </c>
      <c r="AD28" s="1">
        <v>7</v>
      </c>
    </row>
    <row r="29" spans="1:30" ht="12.75">
      <c r="A29" s="5">
        <v>42701</v>
      </c>
      <c r="C29" s="1">
        <f>B29*AA29</f>
        <v>0</v>
      </c>
      <c r="D29" s="1">
        <v>6200</v>
      </c>
      <c r="E29" s="1">
        <f>D29*AA29</f>
        <v>9.295352323838081</v>
      </c>
      <c r="F29" s="1">
        <v>10260</v>
      </c>
      <c r="G29" s="1">
        <f>F29*AA29</f>
        <v>15.38230884557721</v>
      </c>
      <c r="I29" s="1">
        <f>H29*AA29</f>
        <v>0</v>
      </c>
      <c r="K29" s="1">
        <f>J29*AA29</f>
        <v>0</v>
      </c>
      <c r="L29" s="1">
        <v>10000</v>
      </c>
      <c r="M29" s="1">
        <f>L29*AA29</f>
        <v>14.992503748125937</v>
      </c>
      <c r="O29" s="1">
        <f>N29*AA29</f>
        <v>0</v>
      </c>
      <c r="R29" s="1" t="s">
        <v>26</v>
      </c>
      <c r="Y29" s="1" t="s">
        <v>362</v>
      </c>
      <c r="Z29" s="1">
        <f>B29+D29+F29+H29+J29+L29+N29</f>
        <v>26460</v>
      </c>
      <c r="AA29" s="1">
        <f>1/667</f>
        <v>0.0014992503748125937</v>
      </c>
      <c r="AB29" s="2">
        <f>Z29*AA29</f>
        <v>39.67016491754123</v>
      </c>
      <c r="AD29" s="1">
        <v>7</v>
      </c>
    </row>
    <row r="30" spans="1:30" ht="12.75">
      <c r="A30" s="5">
        <v>42702</v>
      </c>
      <c r="B30" s="1">
        <f>1000+120</f>
        <v>1120</v>
      </c>
      <c r="C30" s="1">
        <f>B30*AA30</f>
        <v>1.6791604197901049</v>
      </c>
      <c r="D30" s="1">
        <f>14450+400</f>
        <v>14850</v>
      </c>
      <c r="E30" s="1">
        <f>D30*AA30</f>
        <v>22.263868065967017</v>
      </c>
      <c r="F30" s="1">
        <v>5000</v>
      </c>
      <c r="G30" s="1">
        <f>F30*AA30</f>
        <v>7.496251874062969</v>
      </c>
      <c r="I30" s="1">
        <f>H30*AA30</f>
        <v>0</v>
      </c>
      <c r="K30" s="1">
        <f>J30*AA30</f>
        <v>0</v>
      </c>
      <c r="L30" s="1">
        <v>10000</v>
      </c>
      <c r="M30" s="1">
        <f>L30*AA30</f>
        <v>14.992503748125937</v>
      </c>
      <c r="O30" s="1">
        <f>N30*AA30</f>
        <v>0</v>
      </c>
      <c r="R30" s="1" t="s">
        <v>26</v>
      </c>
      <c r="Y30" s="1" t="s">
        <v>362</v>
      </c>
      <c r="Z30" s="1">
        <f>B30+D30+F30+H30+J30+L30+N30</f>
        <v>30970</v>
      </c>
      <c r="AA30" s="1">
        <f>1/667</f>
        <v>0.0014992503748125937</v>
      </c>
      <c r="AB30" s="2">
        <f>Z30*AA30</f>
        <v>46.43178410794602</v>
      </c>
      <c r="AD30" s="1">
        <v>7</v>
      </c>
    </row>
    <row r="31" spans="1:30" ht="12.75">
      <c r="A31" s="5"/>
      <c r="C31" s="1">
        <f>B31*AA31</f>
        <v>0</v>
      </c>
      <c r="E31" s="1">
        <f>D31*AA31</f>
        <v>0</v>
      </c>
      <c r="G31" s="1">
        <f>F31*AA31</f>
        <v>0</v>
      </c>
      <c r="H31" s="1">
        <v>56</v>
      </c>
      <c r="I31" s="1">
        <f>H31*AA31</f>
        <v>182.56</v>
      </c>
      <c r="K31" s="1">
        <f>J31*AA31</f>
        <v>0</v>
      </c>
      <c r="M31" s="1">
        <f>L31*AA31</f>
        <v>0</v>
      </c>
      <c r="O31" s="1">
        <f>N31*AA31</f>
        <v>0</v>
      </c>
      <c r="Z31" s="1">
        <f>B31+D31+F31+H31+J31+L31+N31</f>
        <v>56</v>
      </c>
      <c r="AA31" s="1">
        <v>3.26</v>
      </c>
      <c r="AB31" s="2">
        <f>Z31*AA31</f>
        <v>182.56</v>
      </c>
      <c r="AD31" s="1">
        <v>7</v>
      </c>
    </row>
    <row r="32" spans="1:30" ht="12.75">
      <c r="A32" s="5">
        <v>42703</v>
      </c>
      <c r="C32" s="1">
        <f>B32*AA32</f>
        <v>0</v>
      </c>
      <c r="E32" s="1">
        <f>D32*AA32</f>
        <v>0</v>
      </c>
      <c r="G32" s="1">
        <f>F32*AA32</f>
        <v>0</v>
      </c>
      <c r="I32" s="1">
        <f>H32*AA32</f>
        <v>0</v>
      </c>
      <c r="J32" s="1">
        <v>500</v>
      </c>
      <c r="K32" s="1">
        <f>J32*AA32</f>
        <v>0.7496251874062968</v>
      </c>
      <c r="M32" s="1">
        <f>L32*AA32</f>
        <v>0</v>
      </c>
      <c r="O32" s="1">
        <f>N32*AA32</f>
        <v>0</v>
      </c>
      <c r="R32" s="1" t="s">
        <v>26</v>
      </c>
      <c r="Y32" s="1" t="s">
        <v>363</v>
      </c>
      <c r="Z32" s="1">
        <f>B32+D32+F32+H32+J32+L32+N32</f>
        <v>500</v>
      </c>
      <c r="AA32" s="1">
        <f>1/667</f>
        <v>0.0014992503748125937</v>
      </c>
      <c r="AB32" s="2">
        <f>Z32*AA32</f>
        <v>0.7496251874062968</v>
      </c>
      <c r="AD32" s="1">
        <v>7</v>
      </c>
    </row>
    <row r="33" spans="1:30" ht="12.75">
      <c r="A33" s="3">
        <v>42704</v>
      </c>
      <c r="C33" s="1">
        <f>B33*AA33</f>
        <v>0</v>
      </c>
      <c r="D33" s="1">
        <f>300</f>
        <v>300</v>
      </c>
      <c r="E33" s="1">
        <f>D33*AA33</f>
        <v>0.4497751124437781</v>
      </c>
      <c r="F33" s="1">
        <v>4000</v>
      </c>
      <c r="G33" s="1">
        <f>F33*AA33</f>
        <v>5.997001499250374</v>
      </c>
      <c r="I33" s="1">
        <f>H33*AA33</f>
        <v>0</v>
      </c>
      <c r="J33" s="1">
        <v>100</v>
      </c>
      <c r="K33" s="1">
        <f>J33*AA33</f>
        <v>0.14992503748125938</v>
      </c>
      <c r="L33" s="1">
        <v>10000</v>
      </c>
      <c r="M33" s="1">
        <f>L33*AA33</f>
        <v>14.992503748125937</v>
      </c>
      <c r="O33" s="1">
        <f>N33*AA33</f>
        <v>0</v>
      </c>
      <c r="R33" s="1" t="s">
        <v>26</v>
      </c>
      <c r="Y33" s="1" t="s">
        <v>364</v>
      </c>
      <c r="Z33" s="1">
        <f>B33+D33+F33+H33+J33+L33+N33</f>
        <v>14400</v>
      </c>
      <c r="AA33" s="1">
        <f>1/667</f>
        <v>0.0014992503748125937</v>
      </c>
      <c r="AB33" s="2">
        <f>Z33*AA33</f>
        <v>21.58920539730135</v>
      </c>
      <c r="AD33" s="1">
        <v>7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441.25/400000</f>
        <v>0.001103125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441.25/400000</f>
        <v>0.001103125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zoomScale="90" zoomScaleNormal="90" workbookViewId="0" topLeftCell="AF1">
      <selection activeCell="AS26" sqref="AS26"/>
    </sheetView>
  </sheetViews>
  <sheetFormatPr defaultColWidth="12.57421875" defaultRowHeight="12.75"/>
  <cols>
    <col min="1" max="35" width="11.57421875" style="8" customWidth="1"/>
    <col min="36" max="36" width="22.140625" style="8" customWidth="1"/>
    <col min="37" max="16384" width="11.57421875" style="8" customWidth="1"/>
  </cols>
  <sheetData>
    <row r="1" spans="1:28" s="1" customFormat="1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X1" s="1" t="s">
        <v>22</v>
      </c>
      <c r="Y1" s="1" t="s">
        <v>23</v>
      </c>
      <c r="Z1" s="4" t="s">
        <v>24</v>
      </c>
      <c r="AB1" s="1" t="s">
        <v>25</v>
      </c>
    </row>
    <row r="2" spans="1:43" ht="12.75">
      <c r="A2" s="5">
        <v>42510</v>
      </c>
      <c r="B2" s="1"/>
      <c r="C2" s="1">
        <f>B2*Y2</f>
        <v>0</v>
      </c>
      <c r="D2" s="1">
        <v>30.74</v>
      </c>
      <c r="E2" s="1">
        <f>D2*Y2</f>
        <v>35.043600000000005</v>
      </c>
      <c r="F2" s="1">
        <v>10</v>
      </c>
      <c r="G2" s="1">
        <f>F2*Y2</f>
        <v>11.400000000000002</v>
      </c>
      <c r="H2" s="1"/>
      <c r="I2" s="1">
        <f>H2*Y2</f>
        <v>0</v>
      </c>
      <c r="J2" s="1"/>
      <c r="K2" s="1">
        <f>J2*Y2</f>
        <v>0</v>
      </c>
      <c r="L2" s="1">
        <v>40</v>
      </c>
      <c r="M2" s="1">
        <f>L2*Y2</f>
        <v>45.60000000000001</v>
      </c>
      <c r="N2" s="1"/>
      <c r="O2" s="1"/>
      <c r="P2" s="1" t="s">
        <v>26</v>
      </c>
      <c r="Q2" s="1"/>
      <c r="R2" s="1"/>
      <c r="S2" s="1"/>
      <c r="T2" s="1"/>
      <c r="U2" s="1"/>
      <c r="V2" s="1"/>
      <c r="W2" s="1"/>
      <c r="X2" s="1">
        <f>B2+D2+F2+H2+J2+L2</f>
        <v>80.74</v>
      </c>
      <c r="Y2" s="1">
        <v>1.1400000000000001</v>
      </c>
      <c r="Z2" s="2">
        <f>X2*Y2</f>
        <v>92.0436</v>
      </c>
      <c r="AA2" s="1"/>
      <c r="AB2" s="1">
        <v>4</v>
      </c>
      <c r="AD2" s="1" t="s">
        <v>28</v>
      </c>
      <c r="AE2" s="1">
        <f>SUM(Z2:Z995)</f>
        <v>6158.5451</v>
      </c>
      <c r="AF2" s="1"/>
      <c r="AG2" s="1" t="s">
        <v>29</v>
      </c>
      <c r="AH2" s="6">
        <f>AE2/AE5</f>
        <v>89.25427681159421</v>
      </c>
      <c r="AI2" s="1"/>
      <c r="AJ2" s="1" t="s">
        <v>93</v>
      </c>
      <c r="AK2" s="1">
        <f>COUNTBLANK(L2:L400)-COUNTBLANK(A2:A400)</f>
        <v>34</v>
      </c>
      <c r="AL2" s="7"/>
      <c r="AM2" s="7"/>
      <c r="AN2" s="7"/>
      <c r="AO2" s="7"/>
      <c r="AP2" s="7"/>
      <c r="AQ2" s="7"/>
    </row>
    <row r="3" spans="1:43" ht="12.75">
      <c r="A3" s="5">
        <v>42511</v>
      </c>
      <c r="B3" s="1">
        <v>40</v>
      </c>
      <c r="C3" s="1">
        <f>B3*Y3</f>
        <v>45.60000000000001</v>
      </c>
      <c r="D3" s="1">
        <f>15.8+2.5+2+3</f>
        <v>23.3</v>
      </c>
      <c r="E3" s="1">
        <f>D3*Y3</f>
        <v>26.562000000000005</v>
      </c>
      <c r="F3" s="1">
        <v>9</v>
      </c>
      <c r="G3" s="1">
        <f>F3*Y3</f>
        <v>10.260000000000002</v>
      </c>
      <c r="H3" s="1">
        <v>180</v>
      </c>
      <c r="I3" s="1">
        <f>H3*Y3</f>
        <v>205.20000000000002</v>
      </c>
      <c r="J3" s="1"/>
      <c r="K3" s="1">
        <f>J3*Y3</f>
        <v>0</v>
      </c>
      <c r="L3" s="1">
        <v>40</v>
      </c>
      <c r="M3" s="1">
        <f>L3*Y3</f>
        <v>45.60000000000001</v>
      </c>
      <c r="N3" s="1"/>
      <c r="O3" s="1"/>
      <c r="P3" s="1" t="s">
        <v>26</v>
      </c>
      <c r="Q3" s="1"/>
      <c r="R3" s="1"/>
      <c r="S3" s="1"/>
      <c r="T3" s="1"/>
      <c r="U3" s="1"/>
      <c r="V3" s="1"/>
      <c r="W3" s="1" t="s">
        <v>94</v>
      </c>
      <c r="X3" s="1">
        <f>B3+D3+F3+H3+J3+L3</f>
        <v>292.3</v>
      </c>
      <c r="Y3" s="1">
        <v>1.1400000000000001</v>
      </c>
      <c r="Z3" s="2">
        <f>X3*Y3</f>
        <v>333.22200000000004</v>
      </c>
      <c r="AA3" s="1"/>
      <c r="AB3" s="1">
        <v>4</v>
      </c>
      <c r="AE3" s="1"/>
      <c r="AF3" s="1"/>
      <c r="AH3" s="9"/>
      <c r="AI3" s="1"/>
      <c r="AJ3" s="1" t="s">
        <v>95</v>
      </c>
      <c r="AK3" s="1">
        <f>COUNT(L2:L360)</f>
        <v>35</v>
      </c>
      <c r="AL3" s="1"/>
      <c r="AM3" s="7"/>
      <c r="AN3" s="7"/>
      <c r="AO3" s="7"/>
      <c r="AP3" s="7"/>
      <c r="AQ3" s="7"/>
    </row>
    <row r="4" spans="1:43" ht="12.75">
      <c r="A4" s="5">
        <v>42512</v>
      </c>
      <c r="B4" s="1"/>
      <c r="C4" s="1">
        <f>B4*Y4</f>
        <v>0</v>
      </c>
      <c r="D4" s="1">
        <v>10</v>
      </c>
      <c r="E4" s="1">
        <f>D4*Y4</f>
        <v>11.400000000000002</v>
      </c>
      <c r="F4" s="1"/>
      <c r="G4" s="1">
        <f>F4*Y4</f>
        <v>0</v>
      </c>
      <c r="H4" s="1">
        <v>10</v>
      </c>
      <c r="I4" s="1">
        <f>H4*Y4</f>
        <v>11.400000000000002</v>
      </c>
      <c r="J4" s="1">
        <f>1+1.5+5</f>
        <v>7.5</v>
      </c>
      <c r="K4" s="1">
        <f>J4*Y4</f>
        <v>8.55</v>
      </c>
      <c r="L4" s="1"/>
      <c r="M4" s="1">
        <f>L4*Y4</f>
        <v>0</v>
      </c>
      <c r="N4" s="1"/>
      <c r="O4" s="1"/>
      <c r="P4" s="1" t="s">
        <v>26</v>
      </c>
      <c r="Q4" s="1"/>
      <c r="R4" s="1"/>
      <c r="S4" s="1"/>
      <c r="T4" s="1"/>
      <c r="U4" s="1"/>
      <c r="V4" s="1"/>
      <c r="W4" s="1" t="s">
        <v>96</v>
      </c>
      <c r="X4" s="1">
        <f>B4+D4+F4+H4+J4+L4</f>
        <v>27.5</v>
      </c>
      <c r="Y4" s="1">
        <v>1.1400000000000001</v>
      </c>
      <c r="Z4" s="2">
        <f>X4*Y4</f>
        <v>31.350000000000005</v>
      </c>
      <c r="AA4" s="1"/>
      <c r="AB4" s="1">
        <v>4</v>
      </c>
      <c r="AD4" s="1"/>
      <c r="AE4" s="1"/>
      <c r="AF4" s="1"/>
      <c r="AG4" s="1"/>
      <c r="AH4" s="1"/>
      <c r="AI4" s="1"/>
      <c r="AJ4" s="1" t="s">
        <v>97</v>
      </c>
      <c r="AK4" s="1">
        <f>COUNTA(S2:S490)</f>
        <v>0</v>
      </c>
      <c r="AL4" s="1"/>
      <c r="AM4" s="7"/>
      <c r="AN4" s="7"/>
      <c r="AO4" s="7"/>
      <c r="AP4" s="7"/>
      <c r="AQ4" s="7"/>
    </row>
    <row r="5" spans="1:43" ht="12.75">
      <c r="A5" s="5">
        <v>42513</v>
      </c>
      <c r="B5" s="1">
        <f>2.5</f>
        <v>2.5</v>
      </c>
      <c r="C5" s="1">
        <f>B5*Y5</f>
        <v>2.8500000000000005</v>
      </c>
      <c r="D5" s="1">
        <f>2</f>
        <v>2</v>
      </c>
      <c r="E5" s="1">
        <f>D5*Y5</f>
        <v>2.2800000000000002</v>
      </c>
      <c r="F5" s="1"/>
      <c r="G5" s="1">
        <f>F5*Y5</f>
        <v>0</v>
      </c>
      <c r="H5" s="1"/>
      <c r="I5" s="1">
        <f>H5*Y5</f>
        <v>0</v>
      </c>
      <c r="J5" s="1">
        <f>3+1</f>
        <v>4</v>
      </c>
      <c r="K5" s="1">
        <f>J5*Y5</f>
        <v>4.5600000000000005</v>
      </c>
      <c r="L5" s="1"/>
      <c r="M5" s="1">
        <f>L5*Y5</f>
        <v>0</v>
      </c>
      <c r="N5" s="1"/>
      <c r="O5" s="1"/>
      <c r="P5" s="1"/>
      <c r="Q5" s="1"/>
      <c r="R5" s="1"/>
      <c r="S5" s="1"/>
      <c r="T5" s="1"/>
      <c r="U5" s="1" t="s">
        <v>26</v>
      </c>
      <c r="V5" s="1"/>
      <c r="W5" s="1" t="s">
        <v>98</v>
      </c>
      <c r="X5" s="1">
        <f>B5+D5+F5+H5+J5+L5</f>
        <v>8.5</v>
      </c>
      <c r="Y5" s="1">
        <v>1.1400000000000001</v>
      </c>
      <c r="Z5" s="2">
        <f>X5*Y5</f>
        <v>9.690000000000001</v>
      </c>
      <c r="AA5" s="1"/>
      <c r="AB5" s="1">
        <v>4</v>
      </c>
      <c r="AD5" s="1" t="s">
        <v>42</v>
      </c>
      <c r="AE5" s="1">
        <f>COUNTA(A2:A350)</f>
        <v>69</v>
      </c>
      <c r="AF5" s="1"/>
      <c r="AG5" s="1"/>
      <c r="AH5" s="1"/>
      <c r="AI5" s="1"/>
      <c r="AJ5" s="8" t="s">
        <v>13</v>
      </c>
      <c r="AK5" s="8">
        <f>COUNTA(N2:N490)</f>
        <v>2</v>
      </c>
      <c r="AL5" s="1"/>
      <c r="AM5" s="1"/>
      <c r="AN5" s="1"/>
      <c r="AO5" s="1"/>
      <c r="AP5" s="1"/>
      <c r="AQ5" s="1"/>
    </row>
    <row r="6" spans="1:43" ht="12.75">
      <c r="A6" s="5">
        <v>42514</v>
      </c>
      <c r="B6" s="1">
        <v>4</v>
      </c>
      <c r="C6" s="1">
        <f>B6*Y6</f>
        <v>4.5600000000000005</v>
      </c>
      <c r="D6" s="1">
        <f>7.4+12+2</f>
        <v>21.4</v>
      </c>
      <c r="E6" s="1">
        <f>D6*Y6</f>
        <v>24.396</v>
      </c>
      <c r="F6" s="1"/>
      <c r="G6" s="1">
        <f>F6*Y6</f>
        <v>0</v>
      </c>
      <c r="H6" s="1"/>
      <c r="I6" s="1">
        <f>H6*Y6</f>
        <v>0</v>
      </c>
      <c r="J6" s="1"/>
      <c r="K6" s="1">
        <f>J6*Y6</f>
        <v>0</v>
      </c>
      <c r="L6" s="1">
        <v>30</v>
      </c>
      <c r="M6" s="1">
        <f>L6*Y6</f>
        <v>34.2</v>
      </c>
      <c r="N6" s="1"/>
      <c r="O6" s="1"/>
      <c r="P6" s="1" t="s">
        <v>26</v>
      </c>
      <c r="Q6" s="1"/>
      <c r="R6" s="1"/>
      <c r="S6" s="1"/>
      <c r="T6" s="1"/>
      <c r="U6" s="1"/>
      <c r="V6" s="1"/>
      <c r="W6" s="1" t="s">
        <v>99</v>
      </c>
      <c r="X6" s="1">
        <f>B6+D6+F6+H6+J6+L6</f>
        <v>55.4</v>
      </c>
      <c r="Y6" s="1">
        <v>1.1400000000000001</v>
      </c>
      <c r="Z6" s="2">
        <f>X6*Y6</f>
        <v>63.156000000000006</v>
      </c>
      <c r="AA6" s="1"/>
      <c r="AB6" s="1">
        <v>4</v>
      </c>
      <c r="AE6" s="1"/>
      <c r="AF6" s="1"/>
      <c r="AG6" s="1"/>
      <c r="AH6" s="1"/>
      <c r="AI6" s="1"/>
      <c r="AJ6" s="8" t="s">
        <v>44</v>
      </c>
      <c r="AK6" s="1">
        <f>COUNTA(P2:P490)</f>
        <v>52</v>
      </c>
      <c r="AL6" s="1"/>
      <c r="AM6" s="1"/>
      <c r="AN6" s="1"/>
      <c r="AO6" s="1"/>
      <c r="AP6" s="1"/>
      <c r="AQ6" s="1"/>
    </row>
    <row r="7" spans="1:43" ht="12.75">
      <c r="A7" s="5">
        <v>42515</v>
      </c>
      <c r="B7" s="1"/>
      <c r="C7" s="1">
        <f>B7*Y7</f>
        <v>0</v>
      </c>
      <c r="D7" s="1">
        <f>1+3.3</f>
        <v>4.3</v>
      </c>
      <c r="E7" s="1">
        <f>D7*Y7</f>
        <v>4.902</v>
      </c>
      <c r="F7" s="1">
        <v>3</v>
      </c>
      <c r="G7" s="1">
        <f>F7*Y7</f>
        <v>3.4200000000000004</v>
      </c>
      <c r="H7" s="1">
        <f>15+15+130+130</f>
        <v>290</v>
      </c>
      <c r="I7" s="1">
        <f>H7*Y7</f>
        <v>330.6</v>
      </c>
      <c r="J7" s="1"/>
      <c r="K7" s="1">
        <f>J7*Y7</f>
        <v>0</v>
      </c>
      <c r="L7" s="1">
        <v>30</v>
      </c>
      <c r="M7" s="1">
        <f>L7*Y7</f>
        <v>34.2</v>
      </c>
      <c r="N7" s="1"/>
      <c r="O7" s="1"/>
      <c r="P7" s="1" t="s">
        <v>26</v>
      </c>
      <c r="Q7" s="1"/>
      <c r="R7" s="1"/>
      <c r="S7" s="1"/>
      <c r="T7" s="1"/>
      <c r="U7" s="1"/>
      <c r="V7" s="1"/>
      <c r="W7" s="1" t="s">
        <v>99</v>
      </c>
      <c r="X7" s="1">
        <f>B7+D7+F7+H7+J7+L7</f>
        <v>327.3</v>
      </c>
      <c r="Y7" s="1">
        <v>1.1400000000000001</v>
      </c>
      <c r="Z7" s="2">
        <f>X7*Y7</f>
        <v>373.12200000000007</v>
      </c>
      <c r="AA7" s="1"/>
      <c r="AB7" s="1">
        <v>4</v>
      </c>
      <c r="AD7" s="1"/>
      <c r="AE7" s="1"/>
      <c r="AF7" s="1"/>
      <c r="AG7" s="1" t="s">
        <v>46</v>
      </c>
      <c r="AH7" s="1"/>
      <c r="AI7" s="1"/>
      <c r="AJ7" s="1" t="s">
        <v>16</v>
      </c>
      <c r="AK7" s="1">
        <f>COUNTA(Q2:Q490)</f>
        <v>0</v>
      </c>
      <c r="AL7" s="1"/>
      <c r="AM7" s="1"/>
      <c r="AN7" s="1"/>
      <c r="AO7" s="1"/>
      <c r="AP7" s="1"/>
      <c r="AQ7" s="1"/>
    </row>
    <row r="8" spans="1:43" ht="12.75">
      <c r="A8" s="5">
        <v>42516</v>
      </c>
      <c r="B8" s="1"/>
      <c r="C8" s="1">
        <f>B8*Y8</f>
        <v>0</v>
      </c>
      <c r="D8" s="1">
        <f>1+11.1</f>
        <v>12.1</v>
      </c>
      <c r="E8" s="1">
        <f>D8*Y8</f>
        <v>13.794</v>
      </c>
      <c r="F8" s="1">
        <v>8</v>
      </c>
      <c r="G8" s="1">
        <f>F8*Y8</f>
        <v>9.120000000000001</v>
      </c>
      <c r="H8" s="1"/>
      <c r="I8" s="1">
        <f>H8*Y8</f>
        <v>0</v>
      </c>
      <c r="J8" s="1"/>
      <c r="K8" s="1">
        <f>J8*Y8</f>
        <v>0</v>
      </c>
      <c r="L8" s="1">
        <v>30</v>
      </c>
      <c r="M8" s="1">
        <f>L8*Y8</f>
        <v>34.2</v>
      </c>
      <c r="N8" s="1"/>
      <c r="O8" s="1"/>
      <c r="P8" s="1" t="s">
        <v>26</v>
      </c>
      <c r="Q8" s="1"/>
      <c r="R8" s="1"/>
      <c r="S8" s="1"/>
      <c r="T8" s="1"/>
      <c r="U8" s="1"/>
      <c r="V8" s="1"/>
      <c r="W8" s="1" t="s">
        <v>99</v>
      </c>
      <c r="X8" s="1">
        <f>B8+D8+F8+H8+J8+L8</f>
        <v>50.1</v>
      </c>
      <c r="Y8" s="1">
        <v>1.1400000000000001</v>
      </c>
      <c r="Z8" s="2">
        <f>X8*Y8</f>
        <v>57.114000000000004</v>
      </c>
      <c r="AA8" s="1"/>
      <c r="AB8" s="1">
        <v>4</v>
      </c>
      <c r="AD8" s="1" t="s">
        <v>48</v>
      </c>
      <c r="AE8" s="4">
        <f>SUM(M2:M995)</f>
        <v>1264.3</v>
      </c>
      <c r="AF8" s="1"/>
      <c r="AG8" s="1" t="s">
        <v>11</v>
      </c>
      <c r="AH8" s="4">
        <f>AE8/$AE$5</f>
        <v>18.3231884057971</v>
      </c>
      <c r="AI8" s="1"/>
      <c r="AJ8" s="8" t="s">
        <v>14</v>
      </c>
      <c r="AK8" s="8">
        <f>COUNTA(O2:O409)</f>
        <v>1</v>
      </c>
      <c r="AL8" s="1"/>
      <c r="AM8" s="1"/>
      <c r="AN8" s="1"/>
      <c r="AO8" s="1"/>
      <c r="AP8" s="1"/>
      <c r="AQ8" s="1"/>
    </row>
    <row r="9" spans="1:43" ht="12.75">
      <c r="A9" s="5">
        <v>42517</v>
      </c>
      <c r="B9" s="1"/>
      <c r="C9" s="1">
        <f>B9*Y9</f>
        <v>0</v>
      </c>
      <c r="D9" s="1">
        <v>2</v>
      </c>
      <c r="E9" s="1">
        <f>D9*Y9</f>
        <v>2.2800000000000002</v>
      </c>
      <c r="F9" s="1">
        <v>10</v>
      </c>
      <c r="G9" s="1">
        <f>F9*Y9</f>
        <v>11.400000000000002</v>
      </c>
      <c r="H9" s="1"/>
      <c r="I9" s="1">
        <f>H9*Y9</f>
        <v>0</v>
      </c>
      <c r="J9" s="1">
        <v>2</v>
      </c>
      <c r="K9" s="1">
        <f>J9*Y9</f>
        <v>2.2800000000000002</v>
      </c>
      <c r="L9" s="1">
        <v>30</v>
      </c>
      <c r="M9" s="1">
        <f>L9*Y9</f>
        <v>34.2</v>
      </c>
      <c r="N9" s="1"/>
      <c r="O9" s="1"/>
      <c r="P9" s="1" t="s">
        <v>26</v>
      </c>
      <c r="Q9" s="1"/>
      <c r="R9" s="1"/>
      <c r="S9" s="1"/>
      <c r="T9" s="1"/>
      <c r="U9" s="1"/>
      <c r="V9" s="1"/>
      <c r="W9" s="1" t="s">
        <v>99</v>
      </c>
      <c r="X9" s="1">
        <f>B9+D9+F9+H9+J9+L9</f>
        <v>44</v>
      </c>
      <c r="Y9" s="1">
        <v>1.1400000000000001</v>
      </c>
      <c r="Z9" s="2">
        <f>X9*Y9</f>
        <v>50.160000000000004</v>
      </c>
      <c r="AA9" s="1"/>
      <c r="AB9" s="1">
        <v>4</v>
      </c>
      <c r="AD9" s="1" t="s">
        <v>50</v>
      </c>
      <c r="AE9" s="1">
        <f>SUM(C2:C995)</f>
        <v>1538.032</v>
      </c>
      <c r="AF9" s="1"/>
      <c r="AG9" s="1" t="s">
        <v>1</v>
      </c>
      <c r="AH9" s="1">
        <f>AE9/$AE$5</f>
        <v>22.290318840579708</v>
      </c>
      <c r="AI9" s="1"/>
      <c r="AJ9" s="8" t="s">
        <v>100</v>
      </c>
      <c r="AK9" s="8">
        <f>COUNTA(U3:U500)</f>
        <v>13</v>
      </c>
      <c r="AL9" s="1"/>
      <c r="AM9" s="1"/>
      <c r="AN9" s="1"/>
      <c r="AO9" s="1"/>
      <c r="AP9" s="1"/>
      <c r="AQ9" s="1"/>
    </row>
    <row r="10" spans="1:43" ht="12.75">
      <c r="A10" s="5">
        <v>42518</v>
      </c>
      <c r="B10" s="1"/>
      <c r="C10" s="1">
        <f>B10*Y10</f>
        <v>0</v>
      </c>
      <c r="D10" s="1">
        <f>22+1.5</f>
        <v>23.5</v>
      </c>
      <c r="E10" s="1">
        <f>D10*Y10</f>
        <v>26.790000000000003</v>
      </c>
      <c r="F10" s="1">
        <v>8</v>
      </c>
      <c r="G10" s="1">
        <f>F10*Y10</f>
        <v>9.120000000000001</v>
      </c>
      <c r="H10" s="1"/>
      <c r="I10" s="1">
        <f>H10*Y10</f>
        <v>0</v>
      </c>
      <c r="J10" s="1"/>
      <c r="K10" s="1">
        <f>J10*Y10</f>
        <v>0</v>
      </c>
      <c r="L10" s="1">
        <v>30</v>
      </c>
      <c r="M10" s="1">
        <f>L10*Y10</f>
        <v>34.2</v>
      </c>
      <c r="N10" s="1"/>
      <c r="O10" s="1"/>
      <c r="P10" s="1" t="s">
        <v>26</v>
      </c>
      <c r="Q10" s="1"/>
      <c r="R10" s="1"/>
      <c r="S10" s="1"/>
      <c r="T10" s="1"/>
      <c r="U10" s="1"/>
      <c r="V10" s="1"/>
      <c r="W10" s="1" t="s">
        <v>99</v>
      </c>
      <c r="X10" s="1">
        <f>B10+D10+F10+H10+J10+L10</f>
        <v>61.5</v>
      </c>
      <c r="Y10" s="1">
        <v>1.1400000000000001</v>
      </c>
      <c r="Z10" s="2">
        <f>X10*Y10</f>
        <v>70.11000000000001</v>
      </c>
      <c r="AA10" s="1"/>
      <c r="AB10" s="1">
        <v>4</v>
      </c>
      <c r="AD10" s="1" t="s">
        <v>51</v>
      </c>
      <c r="AE10" s="4">
        <f>SUM(E2:E995)</f>
        <v>1012.4191000000002</v>
      </c>
      <c r="AF10" s="1"/>
      <c r="AG10" s="1" t="s">
        <v>52</v>
      </c>
      <c r="AH10" s="1">
        <f>AE10/$AE$5</f>
        <v>14.672740579710148</v>
      </c>
      <c r="AI10" s="1"/>
      <c r="AJ10" s="8" t="s">
        <v>19</v>
      </c>
      <c r="AK10" s="8">
        <f>COUNTA(T4:T510)</f>
        <v>0</v>
      </c>
      <c r="AL10" s="1"/>
      <c r="AM10" s="1"/>
      <c r="AN10" s="1"/>
      <c r="AO10" s="1"/>
      <c r="AP10" s="1"/>
      <c r="AQ10" s="1"/>
    </row>
    <row r="11" spans="1:43" ht="12.75">
      <c r="A11" s="5">
        <v>42519</v>
      </c>
      <c r="B11" s="1">
        <f>3+6+4+3+10+8</f>
        <v>34</v>
      </c>
      <c r="C11" s="1">
        <f>B11*Y11</f>
        <v>38.760000000000005</v>
      </c>
      <c r="D11" s="1">
        <f>5+6.5</f>
        <v>11.5</v>
      </c>
      <c r="E11" s="1">
        <f>D11*Y11</f>
        <v>13.110000000000001</v>
      </c>
      <c r="F11" s="1"/>
      <c r="G11" s="1">
        <f>F11*Y11</f>
        <v>0</v>
      </c>
      <c r="H11" s="1"/>
      <c r="I11" s="1">
        <f>H11*Y11</f>
        <v>0</v>
      </c>
      <c r="J11" s="1"/>
      <c r="K11" s="1">
        <f>J11*Y11</f>
        <v>0</v>
      </c>
      <c r="L11" s="1"/>
      <c r="M11" s="1">
        <f>L11*Y11</f>
        <v>0</v>
      </c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 t="s">
        <v>101</v>
      </c>
      <c r="X11" s="1">
        <f>B11+D11+F11+H11+J11+L11</f>
        <v>45.5</v>
      </c>
      <c r="Y11" s="1">
        <v>1.1400000000000001</v>
      </c>
      <c r="Z11" s="2">
        <f>X11*Y11</f>
        <v>51.870000000000005</v>
      </c>
      <c r="AA11" s="1"/>
      <c r="AB11" s="1">
        <v>4</v>
      </c>
      <c r="AD11" s="1" t="s">
        <v>54</v>
      </c>
      <c r="AE11" s="4">
        <f>SUM(G2:G995)</f>
        <v>536.9550000000003</v>
      </c>
      <c r="AF11" s="1"/>
      <c r="AG11" s="1" t="s">
        <v>55</v>
      </c>
      <c r="AH11" s="4">
        <f>AE11/$AE$5</f>
        <v>7.781956521739135</v>
      </c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>
      <c r="A12" s="5">
        <v>42520</v>
      </c>
      <c r="B12" s="1">
        <f>8+10</f>
        <v>18</v>
      </c>
      <c r="C12" s="1">
        <f>B12*Y12</f>
        <v>20.520000000000003</v>
      </c>
      <c r="D12" s="1">
        <f>4+2</f>
        <v>6</v>
      </c>
      <c r="E12" s="1">
        <f>D12*Y12</f>
        <v>6.840000000000001</v>
      </c>
      <c r="F12" s="1"/>
      <c r="G12" s="1">
        <f>F12*Y12</f>
        <v>0</v>
      </c>
      <c r="H12" s="1">
        <v>20</v>
      </c>
      <c r="I12" s="1">
        <f>H12*Y12</f>
        <v>22.800000000000004</v>
      </c>
      <c r="J12" s="1">
        <v>1</v>
      </c>
      <c r="K12" s="1">
        <f>J12*Y12</f>
        <v>1.1400000000000001</v>
      </c>
      <c r="L12" s="1">
        <v>30</v>
      </c>
      <c r="M12" s="1">
        <f>L12*Y12</f>
        <v>34.2</v>
      </c>
      <c r="N12" s="1"/>
      <c r="O12" s="1"/>
      <c r="P12" s="1" t="s">
        <v>26</v>
      </c>
      <c r="Q12" s="1"/>
      <c r="R12" s="1"/>
      <c r="S12" s="1"/>
      <c r="T12" s="1"/>
      <c r="U12" s="1"/>
      <c r="V12" s="1"/>
      <c r="W12" s="1" t="s">
        <v>102</v>
      </c>
      <c r="X12" s="1">
        <f>B12+D12+F12+H12+J12+L12</f>
        <v>75</v>
      </c>
      <c r="Y12" s="1">
        <v>1.1400000000000001</v>
      </c>
      <c r="Z12" s="2">
        <f>X12*Y12</f>
        <v>85.50000000000001</v>
      </c>
      <c r="AA12" s="1"/>
      <c r="AB12" s="1">
        <v>4</v>
      </c>
      <c r="AD12" s="1" t="s">
        <v>57</v>
      </c>
      <c r="AE12" s="4">
        <f>SUM(K2:K995)</f>
        <v>240.32100000000003</v>
      </c>
      <c r="AF12" s="1"/>
      <c r="AG12" s="1" t="s">
        <v>9</v>
      </c>
      <c r="AH12" s="4">
        <f>AE12/$AE$5</f>
        <v>3.4829130434782614</v>
      </c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>
      <c r="A13" s="3">
        <v>42521</v>
      </c>
      <c r="B13" s="1"/>
      <c r="C13" s="1">
        <f>B13*Y13</f>
        <v>0</v>
      </c>
      <c r="D13" s="1">
        <f>7.2+17.3</f>
        <v>24.5</v>
      </c>
      <c r="E13" s="1">
        <f>D13*Y13</f>
        <v>27.930000000000003</v>
      </c>
      <c r="F13" s="1">
        <v>8</v>
      </c>
      <c r="G13" s="1">
        <f>F13*Y13</f>
        <v>9.120000000000001</v>
      </c>
      <c r="H13" s="1"/>
      <c r="I13" s="1">
        <f>H13*Y13</f>
        <v>0</v>
      </c>
      <c r="J13" s="1"/>
      <c r="K13" s="1">
        <f>J13*Y13</f>
        <v>0</v>
      </c>
      <c r="L13" s="1">
        <v>30</v>
      </c>
      <c r="M13" s="1">
        <f>L13*Y13</f>
        <v>34.2</v>
      </c>
      <c r="N13" s="1"/>
      <c r="O13" s="1"/>
      <c r="P13" s="1" t="s">
        <v>26</v>
      </c>
      <c r="Q13" s="1"/>
      <c r="R13" s="1"/>
      <c r="S13" s="1"/>
      <c r="T13" s="1"/>
      <c r="U13" s="1"/>
      <c r="V13" s="1"/>
      <c r="W13" s="1" t="s">
        <v>99</v>
      </c>
      <c r="X13" s="1">
        <f>B13+D13+F13+H13+J13+L13</f>
        <v>62.5</v>
      </c>
      <c r="Y13" s="1">
        <v>1.1400000000000001</v>
      </c>
      <c r="Z13" s="2">
        <f>X13*Y13</f>
        <v>71.25000000000001</v>
      </c>
      <c r="AA13" s="1"/>
      <c r="AB13" s="1">
        <v>4</v>
      </c>
      <c r="AD13" s="1" t="s">
        <v>58</v>
      </c>
      <c r="AE13" s="1">
        <f>SUM(I2:I995)</f>
        <v>1566.5180000000003</v>
      </c>
      <c r="AF13" s="1"/>
      <c r="AG13" s="1" t="s">
        <v>7</v>
      </c>
      <c r="AH13" s="4">
        <f>AE13/$AE$5</f>
        <v>22.703159420289857</v>
      </c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>
      <c r="A14" s="5">
        <v>42522</v>
      </c>
      <c r="B14" s="1"/>
      <c r="C14" s="1">
        <f>B14*Y14</f>
        <v>0</v>
      </c>
      <c r="D14" s="1">
        <f>7.3+10</f>
        <v>17.3</v>
      </c>
      <c r="E14" s="1">
        <f>D14*Y14</f>
        <v>19.722</v>
      </c>
      <c r="F14" s="1">
        <v>3</v>
      </c>
      <c r="G14" s="1">
        <f>F14*Y14</f>
        <v>3.4200000000000004</v>
      </c>
      <c r="H14" s="1">
        <v>156</v>
      </c>
      <c r="I14" s="1">
        <f>H14*Y14</f>
        <v>177.84000000000003</v>
      </c>
      <c r="J14" s="1"/>
      <c r="K14" s="1">
        <f>J14*Y14</f>
        <v>0</v>
      </c>
      <c r="L14" s="1">
        <v>30</v>
      </c>
      <c r="M14" s="1">
        <f>L14*Y14</f>
        <v>34.2</v>
      </c>
      <c r="N14" s="1"/>
      <c r="O14" s="1"/>
      <c r="P14" s="1" t="s">
        <v>26</v>
      </c>
      <c r="Q14" s="1"/>
      <c r="R14" s="1"/>
      <c r="S14" s="1"/>
      <c r="T14" s="1"/>
      <c r="U14" s="1"/>
      <c r="V14" s="1"/>
      <c r="W14" s="1" t="s">
        <v>99</v>
      </c>
      <c r="X14" s="1">
        <f>B14+D14+F14+H14+J14+L14</f>
        <v>206.3</v>
      </c>
      <c r="Y14" s="1">
        <v>1.1400000000000001</v>
      </c>
      <c r="Z14" s="2">
        <f>X14*Y14</f>
        <v>235.18200000000004</v>
      </c>
      <c r="AA14" s="1"/>
      <c r="AB14" s="1">
        <v>4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>
      <c r="A15" s="5">
        <v>42523</v>
      </c>
      <c r="B15" s="1"/>
      <c r="C15" s="1">
        <f>B15*Y15</f>
        <v>0</v>
      </c>
      <c r="D15" s="1">
        <f>16.3</f>
        <v>16.3</v>
      </c>
      <c r="E15" s="1">
        <f>D15*Y15</f>
        <v>18.582000000000004</v>
      </c>
      <c r="F15" s="1">
        <v>8</v>
      </c>
      <c r="G15" s="1">
        <f>F15*Y15</f>
        <v>9.120000000000001</v>
      </c>
      <c r="H15" s="1">
        <f>256+20</f>
        <v>276</v>
      </c>
      <c r="I15" s="1">
        <f>H15*Y15</f>
        <v>314.64000000000004</v>
      </c>
      <c r="J15" s="1">
        <v>10</v>
      </c>
      <c r="K15" s="1">
        <f>J15*Y15</f>
        <v>11.400000000000002</v>
      </c>
      <c r="L15" s="1">
        <v>30</v>
      </c>
      <c r="M15" s="1">
        <f>L15*Y15</f>
        <v>34.2</v>
      </c>
      <c r="N15" s="1"/>
      <c r="O15" s="1"/>
      <c r="P15" s="1" t="s">
        <v>26</v>
      </c>
      <c r="Q15" s="1"/>
      <c r="R15" s="1"/>
      <c r="S15" s="1"/>
      <c r="T15" s="1"/>
      <c r="U15" s="1"/>
      <c r="V15" s="1"/>
      <c r="W15" s="1" t="s">
        <v>99</v>
      </c>
      <c r="X15" s="1">
        <f>B15+D15+F15+H15+J15+L15</f>
        <v>340.3</v>
      </c>
      <c r="Y15" s="1">
        <v>1.1400000000000001</v>
      </c>
      <c r="Z15" s="2">
        <f>X15*Y15</f>
        <v>387.94200000000006</v>
      </c>
      <c r="AA15" s="1"/>
      <c r="AB15" s="1">
        <v>4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>
      <c r="A16" s="5">
        <v>42524</v>
      </c>
      <c r="B16" s="1"/>
      <c r="C16" s="1">
        <f>B16*Y16</f>
        <v>0</v>
      </c>
      <c r="D16" s="1">
        <v>1.5</v>
      </c>
      <c r="E16" s="1">
        <f>D16*Y16</f>
        <v>1.7100000000000002</v>
      </c>
      <c r="F16" s="1"/>
      <c r="G16" s="1">
        <f>F16*Y16</f>
        <v>0</v>
      </c>
      <c r="H16" s="1"/>
      <c r="I16" s="1">
        <f>H16*Y16</f>
        <v>0</v>
      </c>
      <c r="J16" s="1"/>
      <c r="K16" s="1">
        <f>J16*Y16</f>
        <v>0</v>
      </c>
      <c r="L16" s="1">
        <v>15</v>
      </c>
      <c r="M16" s="1">
        <f>L16*Y16</f>
        <v>17.1</v>
      </c>
      <c r="N16" s="1" t="s">
        <v>26</v>
      </c>
      <c r="O16" s="1"/>
      <c r="P16" s="1"/>
      <c r="Q16" s="1"/>
      <c r="R16" s="1"/>
      <c r="S16" s="1"/>
      <c r="T16" s="1"/>
      <c r="U16" s="1"/>
      <c r="V16" s="1"/>
      <c r="W16" s="1" t="s">
        <v>103</v>
      </c>
      <c r="X16" s="1">
        <f>B16+D16+F16+H16+J16+L16</f>
        <v>16.5</v>
      </c>
      <c r="Y16" s="1">
        <v>1.1400000000000001</v>
      </c>
      <c r="Z16" s="2">
        <f>X16*Y16</f>
        <v>18.810000000000002</v>
      </c>
      <c r="AA16" s="1"/>
      <c r="AB16" s="1">
        <v>4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>
      <c r="A17" s="5">
        <v>42525</v>
      </c>
      <c r="B17" s="1"/>
      <c r="C17" s="1">
        <f>B17*Y17</f>
        <v>0</v>
      </c>
      <c r="D17" s="1">
        <f>18</f>
        <v>18</v>
      </c>
      <c r="E17" s="1">
        <f>D17*Y17</f>
        <v>20.520000000000003</v>
      </c>
      <c r="F17" s="1"/>
      <c r="G17" s="1">
        <f>F17*Y17</f>
        <v>0</v>
      </c>
      <c r="H17" s="1"/>
      <c r="I17" s="1">
        <f>H17*Y17</f>
        <v>0</v>
      </c>
      <c r="J17" s="1">
        <v>1</v>
      </c>
      <c r="K17" s="1">
        <f>J17*Y17</f>
        <v>1.1400000000000001</v>
      </c>
      <c r="L17" s="1"/>
      <c r="M17" s="1">
        <f>L17*Y17</f>
        <v>0</v>
      </c>
      <c r="N17" s="1" t="s">
        <v>26</v>
      </c>
      <c r="O17" s="1"/>
      <c r="P17" s="1"/>
      <c r="Q17" s="1"/>
      <c r="R17" s="1"/>
      <c r="S17" s="1"/>
      <c r="T17" s="1"/>
      <c r="U17" s="1"/>
      <c r="V17" s="1"/>
      <c r="W17" s="1" t="s">
        <v>103</v>
      </c>
      <c r="X17" s="1">
        <f>B17+D17+F17+H17+J17+L17</f>
        <v>19</v>
      </c>
      <c r="Y17" s="1">
        <v>1.1400000000000001</v>
      </c>
      <c r="Z17" s="2">
        <f>X17*Y17</f>
        <v>21.660000000000004</v>
      </c>
      <c r="AA17" s="1"/>
      <c r="AB17" s="1">
        <v>4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.75">
      <c r="A18" s="5">
        <v>42526</v>
      </c>
      <c r="B18" s="1"/>
      <c r="C18" s="1">
        <f>B18*Y18</f>
        <v>0</v>
      </c>
      <c r="D18" s="1">
        <f>2+2+1+3.5+1.5</f>
        <v>10</v>
      </c>
      <c r="E18" s="1">
        <f>D18*Y18</f>
        <v>11.400000000000002</v>
      </c>
      <c r="F18" s="1">
        <f>6+16</f>
        <v>22</v>
      </c>
      <c r="G18" s="1">
        <f>F18*Y18</f>
        <v>25.080000000000002</v>
      </c>
      <c r="H18" s="1"/>
      <c r="I18" s="1">
        <f>H18*Y18</f>
        <v>0</v>
      </c>
      <c r="J18" s="1"/>
      <c r="K18" s="1">
        <f>J18*Y18</f>
        <v>0</v>
      </c>
      <c r="L18" s="1">
        <v>30</v>
      </c>
      <c r="M18" s="1">
        <f>L18*Y18</f>
        <v>34.2</v>
      </c>
      <c r="N18" s="1"/>
      <c r="O18" s="1"/>
      <c r="P18" s="1" t="s">
        <v>26</v>
      </c>
      <c r="Q18" s="1"/>
      <c r="R18" s="1"/>
      <c r="S18" s="1"/>
      <c r="T18" s="1"/>
      <c r="U18" s="1"/>
      <c r="V18" s="1"/>
      <c r="W18" s="1" t="s">
        <v>99</v>
      </c>
      <c r="X18" s="1">
        <f>B18+D18+F18+H18+J18+L18</f>
        <v>62</v>
      </c>
      <c r="Y18" s="1">
        <v>1.1400000000000001</v>
      </c>
      <c r="Z18" s="2">
        <f>X18*Y18</f>
        <v>70.68</v>
      </c>
      <c r="AA18" s="1"/>
      <c r="AB18" s="1">
        <v>4</v>
      </c>
      <c r="AD18" s="1" t="s">
        <v>59</v>
      </c>
      <c r="AE18" s="1">
        <f>SUM(V2:V300)</f>
        <v>4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28" ht="12.75">
      <c r="A19" s="5">
        <v>42527</v>
      </c>
      <c r="B19" s="1">
        <f>1.4+120</f>
        <v>121.4</v>
      </c>
      <c r="C19" s="1">
        <f>B19*Y19</f>
        <v>138.39600000000002</v>
      </c>
      <c r="D19" s="1">
        <f>27+3.8</f>
        <v>30.8</v>
      </c>
      <c r="E19" s="1">
        <f>D19*Y19</f>
        <v>35.112</v>
      </c>
      <c r="F19" s="1">
        <v>8</v>
      </c>
      <c r="G19" s="1">
        <f>F19*Y19</f>
        <v>9.120000000000001</v>
      </c>
      <c r="H19" s="1"/>
      <c r="I19" s="1">
        <f>H19*Y19</f>
        <v>0</v>
      </c>
      <c r="J19" s="1">
        <v>10</v>
      </c>
      <c r="K19" s="1">
        <f>J19*Y19</f>
        <v>11.400000000000002</v>
      </c>
      <c r="L19" s="1">
        <v>30</v>
      </c>
      <c r="M19" s="1">
        <f>L19*Y19</f>
        <v>34.2</v>
      </c>
      <c r="N19" s="1"/>
      <c r="O19" s="1"/>
      <c r="P19" s="1" t="s">
        <v>26</v>
      </c>
      <c r="Q19" s="1"/>
      <c r="R19" s="1"/>
      <c r="S19" s="1"/>
      <c r="T19" s="1"/>
      <c r="U19" s="1"/>
      <c r="V19" s="1"/>
      <c r="W19" s="1" t="s">
        <v>99</v>
      </c>
      <c r="X19" s="1">
        <f>B19+D19+F19+H19+J19+L19</f>
        <v>200.20000000000002</v>
      </c>
      <c r="Y19" s="1">
        <v>1.1400000000000001</v>
      </c>
      <c r="Z19" s="2">
        <f>X19*Y19</f>
        <v>228.22800000000004</v>
      </c>
      <c r="AA19" s="1"/>
      <c r="AB19" s="1">
        <v>4</v>
      </c>
    </row>
    <row r="20" spans="1:28" ht="12.75">
      <c r="A20" s="5">
        <v>42528</v>
      </c>
      <c r="B20" s="1">
        <f>4</f>
        <v>4</v>
      </c>
      <c r="C20" s="1">
        <f>B20*Y20</f>
        <v>4.5600000000000005</v>
      </c>
      <c r="D20" s="1">
        <f>0.7+2</f>
        <v>2.7</v>
      </c>
      <c r="E20" s="1">
        <f>D20*Y20</f>
        <v>3.0780000000000007</v>
      </c>
      <c r="F20" s="1">
        <v>3</v>
      </c>
      <c r="G20" s="1">
        <f>F20*Y20</f>
        <v>3.4200000000000004</v>
      </c>
      <c r="H20" s="1"/>
      <c r="I20" s="1">
        <f>H20*Y20</f>
        <v>0</v>
      </c>
      <c r="J20" s="1">
        <v>8</v>
      </c>
      <c r="K20" s="1">
        <f>J20*Y20</f>
        <v>9.120000000000001</v>
      </c>
      <c r="L20" s="1"/>
      <c r="M20" s="1">
        <f>L20*Y20</f>
        <v>0</v>
      </c>
      <c r="N20" s="1"/>
      <c r="O20" s="1"/>
      <c r="P20" s="1"/>
      <c r="Q20" s="1"/>
      <c r="R20" s="1"/>
      <c r="S20" s="1"/>
      <c r="T20" s="1"/>
      <c r="U20" s="1" t="s">
        <v>26</v>
      </c>
      <c r="V20" s="1"/>
      <c r="W20" s="1" t="s">
        <v>104</v>
      </c>
      <c r="X20" s="1">
        <f>B20+D20+F20+H20+J20+L20</f>
        <v>17.7</v>
      </c>
      <c r="Y20" s="1">
        <v>1.1400000000000001</v>
      </c>
      <c r="Z20" s="2">
        <f>X20*Y20</f>
        <v>20.178</v>
      </c>
      <c r="AA20" s="1"/>
      <c r="AB20" s="1">
        <v>4</v>
      </c>
    </row>
    <row r="21" spans="1:28" ht="12.75">
      <c r="A21" s="5">
        <v>42529</v>
      </c>
      <c r="B21" s="1"/>
      <c r="C21" s="1">
        <f>B21*Y21</f>
        <v>0</v>
      </c>
      <c r="D21" s="1">
        <v>23.6</v>
      </c>
      <c r="E21" s="1">
        <f>D21*Y21</f>
        <v>26.904000000000003</v>
      </c>
      <c r="F21" s="1">
        <v>11</v>
      </c>
      <c r="G21" s="1">
        <f>F21*Y21</f>
        <v>12.540000000000001</v>
      </c>
      <c r="H21" s="1"/>
      <c r="I21" s="1">
        <f>H21*Y21</f>
        <v>0</v>
      </c>
      <c r="J21" s="1"/>
      <c r="K21" s="1">
        <f>J21*Y21</f>
        <v>0</v>
      </c>
      <c r="L21" s="1">
        <v>30</v>
      </c>
      <c r="M21" s="1">
        <f>L21*Y21</f>
        <v>34.2</v>
      </c>
      <c r="N21" s="1"/>
      <c r="O21" s="1"/>
      <c r="P21" s="1" t="s">
        <v>26</v>
      </c>
      <c r="Q21" s="1"/>
      <c r="R21" s="1"/>
      <c r="S21" s="1"/>
      <c r="T21" s="1"/>
      <c r="U21" s="1"/>
      <c r="V21" s="1"/>
      <c r="W21" s="1" t="s">
        <v>105</v>
      </c>
      <c r="X21" s="1">
        <f>B21+D21+F21+H21+J21+L21</f>
        <v>64.6</v>
      </c>
      <c r="Y21" s="1">
        <v>1.1400000000000001</v>
      </c>
      <c r="Z21" s="2">
        <f>X21*Y21</f>
        <v>73.644</v>
      </c>
      <c r="AA21" s="1"/>
      <c r="AB21" s="1">
        <v>4</v>
      </c>
    </row>
    <row r="22" spans="1:28" ht="12.75">
      <c r="A22" s="5">
        <v>42530</v>
      </c>
      <c r="B22" s="1"/>
      <c r="C22" s="1">
        <f>B22*Y22</f>
        <v>0</v>
      </c>
      <c r="D22" s="1">
        <f>14.3+3.6+4</f>
        <v>21.900000000000002</v>
      </c>
      <c r="E22" s="1">
        <f>D22*Y22</f>
        <v>24.966000000000005</v>
      </c>
      <c r="F22" s="1">
        <v>6</v>
      </c>
      <c r="G22" s="1">
        <f>F22*Y22</f>
        <v>6.840000000000001</v>
      </c>
      <c r="H22" s="1">
        <v>110</v>
      </c>
      <c r="I22" s="1">
        <f>H22*Y22</f>
        <v>125.40000000000002</v>
      </c>
      <c r="J22" s="1"/>
      <c r="K22" s="1">
        <f>J22*Y22</f>
        <v>0</v>
      </c>
      <c r="L22" s="1">
        <v>30</v>
      </c>
      <c r="M22" s="1">
        <f>L22*Y22</f>
        <v>34.2</v>
      </c>
      <c r="N22" s="1"/>
      <c r="O22" s="1"/>
      <c r="P22" s="1" t="s">
        <v>26</v>
      </c>
      <c r="Q22" s="1"/>
      <c r="R22" s="1"/>
      <c r="S22" s="1"/>
      <c r="T22" s="1"/>
      <c r="U22" s="1"/>
      <c r="V22" s="1"/>
      <c r="W22" s="1" t="s">
        <v>105</v>
      </c>
      <c r="X22" s="1">
        <f>B22+D22+F22+H22+J22+L22</f>
        <v>167.9</v>
      </c>
      <c r="Y22" s="1">
        <v>1.1400000000000001</v>
      </c>
      <c r="Z22" s="2">
        <f>X22*Y22</f>
        <v>191.40600000000003</v>
      </c>
      <c r="AA22" s="1"/>
      <c r="AB22" s="1">
        <v>4</v>
      </c>
    </row>
    <row r="23" spans="1:28" ht="12.75">
      <c r="A23" s="5">
        <v>42531</v>
      </c>
      <c r="B23" s="1">
        <f>8</f>
        <v>8</v>
      </c>
      <c r="C23" s="1">
        <f>B23*Y23</f>
        <v>9.120000000000001</v>
      </c>
      <c r="D23" s="1">
        <f>12.1+3</f>
        <v>15.1</v>
      </c>
      <c r="E23" s="1">
        <f>D23*Y23</f>
        <v>17.214000000000002</v>
      </c>
      <c r="F23" s="1">
        <v>14</v>
      </c>
      <c r="G23" s="1">
        <f>F23*Y23</f>
        <v>15.96</v>
      </c>
      <c r="H23" s="1"/>
      <c r="I23" s="1">
        <f>H23*Y23</f>
        <v>0</v>
      </c>
      <c r="J23" s="1"/>
      <c r="K23" s="1">
        <f>J23*Y23</f>
        <v>0</v>
      </c>
      <c r="L23" s="1">
        <v>30</v>
      </c>
      <c r="M23" s="1">
        <f>L23*Y23</f>
        <v>34.2</v>
      </c>
      <c r="N23" s="1"/>
      <c r="O23" s="1"/>
      <c r="P23" s="1" t="s">
        <v>26</v>
      </c>
      <c r="Q23" s="1"/>
      <c r="R23" s="1"/>
      <c r="S23" s="1"/>
      <c r="T23" s="1"/>
      <c r="U23" s="1"/>
      <c r="V23" s="1">
        <v>1</v>
      </c>
      <c r="W23" s="1" t="s">
        <v>105</v>
      </c>
      <c r="X23" s="1">
        <f>B23+D23+F23+H23+J23+L23</f>
        <v>67.1</v>
      </c>
      <c r="Y23" s="1">
        <v>1.1400000000000001</v>
      </c>
      <c r="Z23" s="2">
        <f>X23*Y23</f>
        <v>76.494</v>
      </c>
      <c r="AA23" s="1"/>
      <c r="AB23" s="1">
        <v>4</v>
      </c>
    </row>
    <row r="24" spans="1:28" ht="12.75">
      <c r="A24" s="5">
        <v>42532</v>
      </c>
      <c r="B24" s="1">
        <v>6</v>
      </c>
      <c r="C24" s="1">
        <f>B24*Y24</f>
        <v>6.840000000000001</v>
      </c>
      <c r="D24" s="1">
        <f>3.9+6.3</f>
        <v>10.2</v>
      </c>
      <c r="E24" s="1">
        <f>D24*Y24</f>
        <v>11.628</v>
      </c>
      <c r="F24" s="1">
        <v>14</v>
      </c>
      <c r="G24" s="1">
        <f>F24*Y24</f>
        <v>15.96</v>
      </c>
      <c r="H24" s="1">
        <v>6</v>
      </c>
      <c r="I24" s="1">
        <f>H24*Y24</f>
        <v>6.840000000000001</v>
      </c>
      <c r="J24" s="1"/>
      <c r="K24" s="1">
        <f>J24*Y24</f>
        <v>0</v>
      </c>
      <c r="L24" s="1">
        <v>30</v>
      </c>
      <c r="M24" s="1">
        <f>L24*Y24</f>
        <v>34.2</v>
      </c>
      <c r="N24" s="1"/>
      <c r="O24" s="1"/>
      <c r="P24" s="1" t="s">
        <v>26</v>
      </c>
      <c r="Q24" s="1"/>
      <c r="R24" s="1"/>
      <c r="S24" s="1"/>
      <c r="T24" s="1"/>
      <c r="U24" s="1"/>
      <c r="V24" s="1">
        <v>1</v>
      </c>
      <c r="W24" s="1" t="s">
        <v>105</v>
      </c>
      <c r="X24" s="1">
        <f>B24+D24+F24+H24+J24+L24</f>
        <v>66.2</v>
      </c>
      <c r="Y24" s="1">
        <v>1.1400000000000001</v>
      </c>
      <c r="Z24" s="2">
        <f>X24*Y24</f>
        <v>75.46800000000002</v>
      </c>
      <c r="AA24" s="1"/>
      <c r="AB24" s="1">
        <v>4</v>
      </c>
    </row>
    <row r="25" spans="1:28" ht="12.75">
      <c r="A25" s="5">
        <v>42533</v>
      </c>
      <c r="B25" s="1"/>
      <c r="C25" s="1">
        <f>B25*Y25</f>
        <v>0</v>
      </c>
      <c r="D25" s="1">
        <f>19.2+1.7</f>
        <v>20.9</v>
      </c>
      <c r="E25" s="1">
        <f>D25*Y25</f>
        <v>23.826</v>
      </c>
      <c r="F25" s="1">
        <v>12</v>
      </c>
      <c r="G25" s="1">
        <f>F25*Y25</f>
        <v>13.680000000000001</v>
      </c>
      <c r="H25" s="1"/>
      <c r="I25" s="1">
        <f>H25*Y25</f>
        <v>0</v>
      </c>
      <c r="J25" s="1"/>
      <c r="K25" s="1">
        <f>J25*Y25</f>
        <v>0</v>
      </c>
      <c r="L25" s="1">
        <v>25</v>
      </c>
      <c r="M25" s="1">
        <f>L25*Y25</f>
        <v>28.500000000000004</v>
      </c>
      <c r="N25" s="1"/>
      <c r="O25" s="1"/>
      <c r="P25" s="1" t="s">
        <v>26</v>
      </c>
      <c r="Q25" s="1"/>
      <c r="R25" s="1"/>
      <c r="S25" s="1"/>
      <c r="T25" s="1"/>
      <c r="U25" s="1"/>
      <c r="V25" s="1">
        <v>1</v>
      </c>
      <c r="W25" s="1" t="s">
        <v>106</v>
      </c>
      <c r="X25" s="1">
        <f>B25+D25+F25+H25+J25+L25</f>
        <v>57.9</v>
      </c>
      <c r="Y25" s="1">
        <v>1.1400000000000001</v>
      </c>
      <c r="Z25" s="2">
        <f>X25*Y25</f>
        <v>66.006</v>
      </c>
      <c r="AA25" s="1"/>
      <c r="AB25" s="1">
        <v>4</v>
      </c>
    </row>
    <row r="26" spans="1:28" ht="12.75">
      <c r="A26" s="5">
        <v>42534</v>
      </c>
      <c r="B26" s="1"/>
      <c r="C26" s="1">
        <f>B26*Y26</f>
        <v>0</v>
      </c>
      <c r="D26" s="1">
        <f>3.6+5.4+2</f>
        <v>11</v>
      </c>
      <c r="E26" s="1">
        <f>D26*Y26</f>
        <v>12.540000000000001</v>
      </c>
      <c r="F26" s="1">
        <v>12</v>
      </c>
      <c r="G26" s="1">
        <f>F26*Y26</f>
        <v>13.680000000000001</v>
      </c>
      <c r="H26" s="1">
        <f>4+7.2</f>
        <v>11.2</v>
      </c>
      <c r="I26" s="1">
        <f>H26*Y26</f>
        <v>12.768</v>
      </c>
      <c r="J26" s="1"/>
      <c r="K26" s="1">
        <f>J26*Y26</f>
        <v>0</v>
      </c>
      <c r="L26" s="1">
        <v>25</v>
      </c>
      <c r="M26" s="1">
        <f>L26*Y26</f>
        <v>28.500000000000004</v>
      </c>
      <c r="N26" s="1"/>
      <c r="O26" s="1"/>
      <c r="P26" s="1" t="s">
        <v>26</v>
      </c>
      <c r="Q26" s="1"/>
      <c r="R26" s="1"/>
      <c r="S26" s="1"/>
      <c r="T26" s="1"/>
      <c r="U26" s="1"/>
      <c r="V26" s="1"/>
      <c r="W26" s="1" t="s">
        <v>107</v>
      </c>
      <c r="X26" s="1">
        <f>B26+D26+F26+H26+J26+L26</f>
        <v>59.2</v>
      </c>
      <c r="Y26" s="1">
        <v>1.1400000000000001</v>
      </c>
      <c r="Z26" s="2">
        <f>X26*Y26</f>
        <v>67.48800000000001</v>
      </c>
      <c r="AA26" s="1"/>
      <c r="AB26" s="1">
        <v>4</v>
      </c>
    </row>
    <row r="27" spans="1:28" ht="12.75">
      <c r="A27" s="5">
        <v>42535</v>
      </c>
      <c r="B27" s="1"/>
      <c r="C27" s="1">
        <f>B27*Y27</f>
        <v>0</v>
      </c>
      <c r="D27" s="1">
        <f>1.15+13.3</f>
        <v>14.450000000000001</v>
      </c>
      <c r="E27" s="1">
        <f>D27*Y27</f>
        <v>16.473000000000003</v>
      </c>
      <c r="F27" s="1">
        <v>12</v>
      </c>
      <c r="G27" s="1">
        <f>F27*Y27</f>
        <v>13.680000000000001</v>
      </c>
      <c r="H27" s="1"/>
      <c r="I27" s="1">
        <f>H27*Y27</f>
        <v>0</v>
      </c>
      <c r="J27" s="1"/>
      <c r="K27" s="1">
        <f>J27*Y27</f>
        <v>0</v>
      </c>
      <c r="L27" s="1">
        <v>25</v>
      </c>
      <c r="M27" s="1">
        <f>L27*Y27</f>
        <v>28.500000000000004</v>
      </c>
      <c r="N27" s="1"/>
      <c r="O27" s="1"/>
      <c r="P27" s="1" t="s">
        <v>26</v>
      </c>
      <c r="Q27" s="1"/>
      <c r="R27" s="1"/>
      <c r="S27" s="1"/>
      <c r="T27" s="1"/>
      <c r="U27" s="1"/>
      <c r="V27" s="1"/>
      <c r="W27" s="1" t="s">
        <v>107</v>
      </c>
      <c r="X27" s="1">
        <f>B27+D27+F27+H27+J27+L27</f>
        <v>51.45</v>
      </c>
      <c r="Y27" s="1">
        <v>1.1400000000000001</v>
      </c>
      <c r="Z27" s="2">
        <f>X27*Y27</f>
        <v>58.65300000000001</v>
      </c>
      <c r="AA27" s="1"/>
      <c r="AB27" s="1">
        <v>4</v>
      </c>
    </row>
    <row r="28" spans="1:28" ht="12.75">
      <c r="A28" s="5">
        <v>42536</v>
      </c>
      <c r="B28" s="1">
        <f>42+4</f>
        <v>46</v>
      </c>
      <c r="C28" s="1">
        <f>B28*Y28</f>
        <v>52.440000000000005</v>
      </c>
      <c r="D28" s="1">
        <f>1</f>
        <v>1</v>
      </c>
      <c r="E28" s="1">
        <f>D28*Y28</f>
        <v>1.1400000000000001</v>
      </c>
      <c r="F28" s="1">
        <v>10</v>
      </c>
      <c r="G28" s="1">
        <f>F28*Y28</f>
        <v>11.400000000000002</v>
      </c>
      <c r="H28" s="1"/>
      <c r="I28" s="1">
        <f>H28*Y28</f>
        <v>0</v>
      </c>
      <c r="J28" s="1">
        <v>1.5</v>
      </c>
      <c r="K28" s="1">
        <f>J28*Y28</f>
        <v>1.7100000000000002</v>
      </c>
      <c r="L28" s="1"/>
      <c r="M28" s="1">
        <f>L28*Y28</f>
        <v>0</v>
      </c>
      <c r="N28" s="1"/>
      <c r="O28" s="1"/>
      <c r="P28" s="1" t="s">
        <v>26</v>
      </c>
      <c r="Q28" s="1"/>
      <c r="R28" s="1"/>
      <c r="S28" s="1"/>
      <c r="T28" s="1"/>
      <c r="U28" s="1"/>
      <c r="V28" s="1"/>
      <c r="W28" s="1" t="s">
        <v>108</v>
      </c>
      <c r="X28" s="1">
        <f>B28+D28+F28+H28+J28+L28</f>
        <v>58.5</v>
      </c>
      <c r="Y28" s="1">
        <v>1.1400000000000001</v>
      </c>
      <c r="Z28" s="2">
        <f>X28*Y28</f>
        <v>66.69000000000001</v>
      </c>
      <c r="AA28" s="1"/>
      <c r="AB28" s="1">
        <v>4</v>
      </c>
    </row>
    <row r="29" spans="1:28" ht="12.75">
      <c r="A29" s="5">
        <v>42537</v>
      </c>
      <c r="B29" s="1">
        <f>2+3</f>
        <v>5</v>
      </c>
      <c r="C29" s="1">
        <f>B29*Y29</f>
        <v>5.700000000000001</v>
      </c>
      <c r="D29" s="1">
        <v>30.7</v>
      </c>
      <c r="E29" s="1">
        <f>D29*Y29</f>
        <v>34.998000000000005</v>
      </c>
      <c r="F29" s="1">
        <v>14</v>
      </c>
      <c r="G29" s="1">
        <f>F29*Y29</f>
        <v>15.96</v>
      </c>
      <c r="H29" s="1"/>
      <c r="I29" s="1">
        <f>H29*Y29</f>
        <v>0</v>
      </c>
      <c r="J29" s="1"/>
      <c r="K29" s="1">
        <f>J29*Y29</f>
        <v>0</v>
      </c>
      <c r="L29" s="1"/>
      <c r="M29" s="1">
        <f>L29*Y29</f>
        <v>0</v>
      </c>
      <c r="N29" s="1"/>
      <c r="O29" s="1"/>
      <c r="P29" s="1" t="s">
        <v>26</v>
      </c>
      <c r="Q29" s="1"/>
      <c r="R29" s="1"/>
      <c r="S29" s="1"/>
      <c r="T29" s="1"/>
      <c r="U29" s="1"/>
      <c r="V29" s="1"/>
      <c r="W29" s="1" t="s">
        <v>109</v>
      </c>
      <c r="X29" s="1">
        <f>B29+D29+F29+H29+J29+L29</f>
        <v>49.7</v>
      </c>
      <c r="Y29" s="1">
        <v>1.1400000000000001</v>
      </c>
      <c r="Z29" s="2">
        <f>X29*Y29</f>
        <v>56.65800000000001</v>
      </c>
      <c r="AA29" s="1"/>
      <c r="AB29" s="1">
        <v>4</v>
      </c>
    </row>
    <row r="30" spans="1:28" ht="12.75">
      <c r="A30" s="5">
        <v>42538</v>
      </c>
      <c r="B30" s="1">
        <f>3+3+2.4+3</f>
        <v>11.4</v>
      </c>
      <c r="C30" s="1">
        <f>B30*Y30</f>
        <v>12.996000000000002</v>
      </c>
      <c r="D30" s="1"/>
      <c r="E30" s="1">
        <f>D30*Y30</f>
        <v>0</v>
      </c>
      <c r="F30" s="1">
        <v>10</v>
      </c>
      <c r="G30" s="1">
        <f>F30*Y30</f>
        <v>11.400000000000002</v>
      </c>
      <c r="H30" s="1"/>
      <c r="I30" s="1">
        <f>H30*Y30</f>
        <v>0</v>
      </c>
      <c r="J30" s="1"/>
      <c r="K30" s="1">
        <f>J30*Y30</f>
        <v>0</v>
      </c>
      <c r="L30" s="1">
        <v>30</v>
      </c>
      <c r="M30" s="1">
        <f>L30*Y30</f>
        <v>34.2</v>
      </c>
      <c r="N30" s="1"/>
      <c r="O30" s="1"/>
      <c r="P30" s="1" t="s">
        <v>26</v>
      </c>
      <c r="Q30" s="1"/>
      <c r="R30" s="1"/>
      <c r="S30" s="1"/>
      <c r="T30" s="1"/>
      <c r="U30" s="1"/>
      <c r="V30" s="1"/>
      <c r="W30" s="1" t="s">
        <v>109</v>
      </c>
      <c r="X30" s="1">
        <f>B30+D30+F30+H30+J30+L30</f>
        <v>51.4</v>
      </c>
      <c r="Y30" s="1">
        <v>1.1400000000000001</v>
      </c>
      <c r="Z30" s="2">
        <f>X30*Y30</f>
        <v>58.596000000000004</v>
      </c>
      <c r="AA30" s="1"/>
      <c r="AB30" s="1">
        <v>4</v>
      </c>
    </row>
    <row r="31" spans="1:28" ht="12.75">
      <c r="A31" s="5">
        <v>42539</v>
      </c>
      <c r="B31" s="1">
        <v>6</v>
      </c>
      <c r="C31" s="1">
        <f>B31*Y31</f>
        <v>6.840000000000001</v>
      </c>
      <c r="D31" s="1">
        <v>21</v>
      </c>
      <c r="E31" s="1">
        <f>D31*Y31</f>
        <v>23.94</v>
      </c>
      <c r="F31" s="1">
        <v>12</v>
      </c>
      <c r="G31" s="1">
        <f>F31*Y31</f>
        <v>13.680000000000001</v>
      </c>
      <c r="H31" s="1"/>
      <c r="I31" s="1">
        <f>H31*Y31</f>
        <v>0</v>
      </c>
      <c r="J31" s="1"/>
      <c r="K31" s="1">
        <f>J31*Y31</f>
        <v>0</v>
      </c>
      <c r="L31" s="1"/>
      <c r="M31" s="1">
        <f>L31*Y31</f>
        <v>0</v>
      </c>
      <c r="N31" s="1"/>
      <c r="O31" s="1"/>
      <c r="P31" s="1" t="s">
        <v>26</v>
      </c>
      <c r="Q31" s="1"/>
      <c r="R31" s="1"/>
      <c r="S31" s="1"/>
      <c r="T31" s="1"/>
      <c r="U31" s="1"/>
      <c r="V31" s="1"/>
      <c r="W31" s="1" t="s">
        <v>109</v>
      </c>
      <c r="X31" s="1">
        <f>B31+D31+F31+H31+J31+L31</f>
        <v>39</v>
      </c>
      <c r="Y31" s="1">
        <v>1.1400000000000001</v>
      </c>
      <c r="Z31" s="2">
        <f>X31*Y31</f>
        <v>44.46000000000001</v>
      </c>
      <c r="AA31" s="1"/>
      <c r="AB31" s="1">
        <v>4</v>
      </c>
    </row>
    <row r="32" spans="1:28" ht="12.75">
      <c r="A32" s="5">
        <v>42540</v>
      </c>
      <c r="B32" s="1">
        <f>3+8+7+3</f>
        <v>21</v>
      </c>
      <c r="C32" s="1">
        <f>B32*Y32</f>
        <v>23.94</v>
      </c>
      <c r="D32" s="1">
        <v>25.6</v>
      </c>
      <c r="E32" s="1">
        <f>D32*Y32</f>
        <v>29.184000000000005</v>
      </c>
      <c r="F32" s="1">
        <v>16</v>
      </c>
      <c r="G32" s="1">
        <f>F32*Y32</f>
        <v>18.240000000000002</v>
      </c>
      <c r="H32" s="1">
        <v>20</v>
      </c>
      <c r="I32" s="1">
        <f>H32*Y32</f>
        <v>22.800000000000004</v>
      </c>
      <c r="J32" s="1"/>
      <c r="K32" s="1">
        <f>J32*Y32</f>
        <v>0</v>
      </c>
      <c r="L32" s="1"/>
      <c r="M32" s="1">
        <f>L32*Y32</f>
        <v>0</v>
      </c>
      <c r="N32" s="1"/>
      <c r="O32" s="1"/>
      <c r="P32" s="1" t="s">
        <v>26</v>
      </c>
      <c r="Q32" s="1"/>
      <c r="R32" s="1"/>
      <c r="S32" s="1"/>
      <c r="T32" s="1"/>
      <c r="U32" s="1"/>
      <c r="V32" s="1"/>
      <c r="W32" s="1" t="s">
        <v>109</v>
      </c>
      <c r="X32" s="1">
        <f>B32+D32+F32+H32+J32+L32</f>
        <v>82.6</v>
      </c>
      <c r="Y32" s="1">
        <v>1.1400000000000001</v>
      </c>
      <c r="Z32" s="2">
        <f>X32*Y32</f>
        <v>94.164</v>
      </c>
      <c r="AA32" s="1"/>
      <c r="AB32" s="1">
        <v>4</v>
      </c>
    </row>
    <row r="33" spans="1:28" ht="12.75">
      <c r="A33" s="5">
        <v>42541</v>
      </c>
      <c r="B33" s="1">
        <f>30+2+3</f>
        <v>35</v>
      </c>
      <c r="C33" s="1">
        <f>B33*Y33</f>
        <v>39.725</v>
      </c>
      <c r="D33" s="1">
        <v>2.5</v>
      </c>
      <c r="E33" s="1">
        <f>D33*Y33</f>
        <v>2.8375</v>
      </c>
      <c r="F33" s="1">
        <v>9</v>
      </c>
      <c r="G33" s="1">
        <f>F33*Y33</f>
        <v>10.215</v>
      </c>
      <c r="H33" s="1"/>
      <c r="I33" s="1">
        <f>H33*Y33</f>
        <v>0</v>
      </c>
      <c r="J33" s="1"/>
      <c r="K33" s="1">
        <f>J33*Y33</f>
        <v>0</v>
      </c>
      <c r="L33" s="1"/>
      <c r="M33" s="1">
        <f>L33*Y33</f>
        <v>0</v>
      </c>
      <c r="N33" s="1"/>
      <c r="O33" s="1"/>
      <c r="P33" s="1" t="s">
        <v>26</v>
      </c>
      <c r="Q33" s="1"/>
      <c r="R33" s="1"/>
      <c r="S33" s="1"/>
      <c r="T33" s="1"/>
      <c r="U33" s="1"/>
      <c r="V33" s="1"/>
      <c r="W33" s="1" t="s">
        <v>110</v>
      </c>
      <c r="X33" s="1">
        <f>B33+D33+F33+H33+J33+L33</f>
        <v>46.5</v>
      </c>
      <c r="Y33" s="1">
        <v>1.135</v>
      </c>
      <c r="Z33" s="2">
        <f>X33*Y33</f>
        <v>52.7775</v>
      </c>
      <c r="AA33" s="1"/>
      <c r="AB33" s="1">
        <v>4</v>
      </c>
    </row>
    <row r="34" spans="1:28" ht="12.75">
      <c r="A34" s="5">
        <v>42542</v>
      </c>
      <c r="B34" s="1">
        <f>10</f>
        <v>10</v>
      </c>
      <c r="C34" s="1">
        <f>B34*Y34</f>
        <v>11.35</v>
      </c>
      <c r="D34" s="1">
        <f>2.8+2</f>
        <v>4.8</v>
      </c>
      <c r="E34" s="1">
        <f>D34*Y34</f>
        <v>5.4479999999999995</v>
      </c>
      <c r="F34" s="1"/>
      <c r="G34" s="1">
        <f>F34*Y34</f>
        <v>0</v>
      </c>
      <c r="H34" s="1">
        <f>22+10</f>
        <v>32</v>
      </c>
      <c r="I34" s="1">
        <f>H34*Y34</f>
        <v>36.32</v>
      </c>
      <c r="J34" s="1"/>
      <c r="K34" s="1">
        <f>J34*Y34</f>
        <v>0</v>
      </c>
      <c r="L34" s="1"/>
      <c r="M34" s="1">
        <f>L34*Y34</f>
        <v>0</v>
      </c>
      <c r="N34" s="1"/>
      <c r="O34" s="1"/>
      <c r="P34" s="1" t="s">
        <v>26</v>
      </c>
      <c r="Q34" s="1"/>
      <c r="R34" s="1"/>
      <c r="S34" s="1"/>
      <c r="T34" s="1"/>
      <c r="U34" s="1"/>
      <c r="V34" s="1">
        <v>1</v>
      </c>
      <c r="W34" s="1" t="s">
        <v>111</v>
      </c>
      <c r="X34" s="1">
        <f>B34+D34+F34+H34+J34+L34</f>
        <v>46.8</v>
      </c>
      <c r="Y34" s="1">
        <v>1.135</v>
      </c>
      <c r="Z34" s="2">
        <f>X34*Y34</f>
        <v>53.117999999999995</v>
      </c>
      <c r="AA34" s="1"/>
      <c r="AB34" s="1">
        <v>4</v>
      </c>
    </row>
    <row r="35" spans="1:28" ht="12.75">
      <c r="A35" s="5">
        <v>42543</v>
      </c>
      <c r="B35" s="1">
        <f>8+5+50</f>
        <v>63</v>
      </c>
      <c r="C35" s="1">
        <f>B35*Y35</f>
        <v>71.505</v>
      </c>
      <c r="D35" s="1">
        <f>10.7</f>
        <v>10.7</v>
      </c>
      <c r="E35" s="1">
        <f>D35*Y35</f>
        <v>12.144499999999999</v>
      </c>
      <c r="F35" s="1">
        <v>10</v>
      </c>
      <c r="G35" s="1">
        <f>F35*Y35</f>
        <v>11.35</v>
      </c>
      <c r="H35" s="1"/>
      <c r="I35" s="1">
        <f>H35*Y35</f>
        <v>0</v>
      </c>
      <c r="J35" s="1"/>
      <c r="K35" s="1">
        <f>J35*Y35</f>
        <v>0</v>
      </c>
      <c r="L35" s="1"/>
      <c r="M35" s="1">
        <f>L35*Y35</f>
        <v>0</v>
      </c>
      <c r="N35" s="1"/>
      <c r="O35" s="1"/>
      <c r="P35" s="1" t="s">
        <v>26</v>
      </c>
      <c r="Q35" s="1"/>
      <c r="R35" s="1"/>
      <c r="S35" s="1"/>
      <c r="T35" s="1"/>
      <c r="U35" s="1"/>
      <c r="V35" s="1"/>
      <c r="W35" s="1" t="s">
        <v>112</v>
      </c>
      <c r="X35" s="1">
        <f>B35+D35+F35+H35+J35+L35</f>
        <v>83.7</v>
      </c>
      <c r="Y35" s="1">
        <v>1.135</v>
      </c>
      <c r="Z35" s="2">
        <f>X35*Y35</f>
        <v>94.9995</v>
      </c>
      <c r="AA35" s="1"/>
      <c r="AB35" s="1">
        <v>4</v>
      </c>
    </row>
    <row r="36" spans="1:28" ht="12.75">
      <c r="A36" s="5">
        <v>42544</v>
      </c>
      <c r="B36" s="1"/>
      <c r="C36" s="1">
        <f>B36*Y36</f>
        <v>0</v>
      </c>
      <c r="D36" s="1">
        <v>10.5</v>
      </c>
      <c r="E36" s="1">
        <f>D36*Y36</f>
        <v>11.9175</v>
      </c>
      <c r="F36" s="1">
        <v>10</v>
      </c>
      <c r="G36" s="1">
        <f>F36*Y36</f>
        <v>11.35</v>
      </c>
      <c r="H36" s="1">
        <v>100</v>
      </c>
      <c r="I36" s="1">
        <f>H36*Y36</f>
        <v>113.5</v>
      </c>
      <c r="J36" s="1"/>
      <c r="K36" s="1">
        <f>J36*Y36</f>
        <v>0</v>
      </c>
      <c r="L36" s="1"/>
      <c r="M36" s="1">
        <f>L36*Y36</f>
        <v>0</v>
      </c>
      <c r="N36" s="1"/>
      <c r="O36" s="1"/>
      <c r="P36" s="1" t="s">
        <v>26</v>
      </c>
      <c r="Q36" s="1"/>
      <c r="R36" s="1"/>
      <c r="S36" s="1"/>
      <c r="T36" s="1"/>
      <c r="U36" s="1"/>
      <c r="V36" s="1"/>
      <c r="W36" s="1" t="s">
        <v>113</v>
      </c>
      <c r="X36" s="1">
        <f>B36+D36+F36+H36+J36+L36</f>
        <v>120.5</v>
      </c>
      <c r="Y36" s="1">
        <v>1.135</v>
      </c>
      <c r="Z36" s="2">
        <f>X36*Y36</f>
        <v>136.7675</v>
      </c>
      <c r="AA36" s="1"/>
      <c r="AB36" s="1">
        <v>4</v>
      </c>
    </row>
    <row r="37" spans="1:28" ht="12.75">
      <c r="A37" s="5">
        <v>42545</v>
      </c>
      <c r="B37" s="1"/>
      <c r="C37" s="1">
        <f>B37*Y37</f>
        <v>0</v>
      </c>
      <c r="D37" s="1">
        <f>2.8+2</f>
        <v>4.8</v>
      </c>
      <c r="E37" s="1">
        <f>D37*Y37</f>
        <v>5.4479999999999995</v>
      </c>
      <c r="F37" s="1">
        <v>10</v>
      </c>
      <c r="G37" s="1">
        <f>F37*Y37</f>
        <v>11.35</v>
      </c>
      <c r="H37" s="1">
        <v>20</v>
      </c>
      <c r="I37" s="1">
        <f>H37*Y37</f>
        <v>22.7</v>
      </c>
      <c r="J37" s="1"/>
      <c r="K37" s="1">
        <f>J37*Y37</f>
        <v>0</v>
      </c>
      <c r="L37" s="1"/>
      <c r="M37" s="1">
        <f>L37*Y37</f>
        <v>0</v>
      </c>
      <c r="N37" s="1"/>
      <c r="O37" s="1"/>
      <c r="P37" s="1" t="s">
        <v>26</v>
      </c>
      <c r="Q37" s="1"/>
      <c r="R37" s="1"/>
      <c r="S37" s="1"/>
      <c r="T37" s="1"/>
      <c r="U37" s="1"/>
      <c r="V37" s="1"/>
      <c r="W37" s="1" t="s">
        <v>113</v>
      </c>
      <c r="X37" s="1">
        <f>B37+D37+F37+H37+J37+L37</f>
        <v>34.8</v>
      </c>
      <c r="Y37" s="1">
        <v>1.135</v>
      </c>
      <c r="Z37" s="2">
        <f>X37*Y37</f>
        <v>39.498</v>
      </c>
      <c r="AA37" s="1"/>
      <c r="AB37" s="1">
        <v>4</v>
      </c>
    </row>
    <row r="38" spans="1:28" ht="12.75">
      <c r="A38" s="5">
        <v>42546</v>
      </c>
      <c r="B38" s="1"/>
      <c r="C38" s="1">
        <f>B38*Y38</f>
        <v>0</v>
      </c>
      <c r="D38" s="1">
        <f>19.2+2</f>
        <v>21.2</v>
      </c>
      <c r="E38" s="1">
        <f>D38*Y38</f>
        <v>24.061999999999998</v>
      </c>
      <c r="F38" s="1">
        <v>10</v>
      </c>
      <c r="G38" s="1">
        <f>F38*Y38</f>
        <v>11.35</v>
      </c>
      <c r="H38" s="1">
        <v>20</v>
      </c>
      <c r="I38" s="1">
        <f>H38*Y38</f>
        <v>22.7</v>
      </c>
      <c r="J38" s="1">
        <v>1</v>
      </c>
      <c r="K38" s="1">
        <f>J38*Y38</f>
        <v>1.135</v>
      </c>
      <c r="L38" s="1"/>
      <c r="M38" s="1">
        <f>L38*Y38</f>
        <v>0</v>
      </c>
      <c r="N38" s="1"/>
      <c r="O38" s="1"/>
      <c r="P38" s="1" t="s">
        <v>26</v>
      </c>
      <c r="Q38" s="1"/>
      <c r="R38" s="1"/>
      <c r="S38" s="1"/>
      <c r="T38" s="1"/>
      <c r="U38" s="1"/>
      <c r="V38" s="1"/>
      <c r="W38" s="1" t="s">
        <v>113</v>
      </c>
      <c r="X38" s="1">
        <f>B38+D38+F38+H38+J38+L38</f>
        <v>52.2</v>
      </c>
      <c r="Y38" s="1">
        <v>1.135</v>
      </c>
      <c r="Z38" s="2">
        <f>X38*Y38</f>
        <v>59.24700000000001</v>
      </c>
      <c r="AA38" s="1"/>
      <c r="AB38" s="1">
        <v>4</v>
      </c>
    </row>
    <row r="39" spans="1:28" ht="12.75">
      <c r="A39" s="5">
        <v>42547</v>
      </c>
      <c r="B39" s="1"/>
      <c r="C39" s="1">
        <f>B39*Y39</f>
        <v>0</v>
      </c>
      <c r="D39" s="1"/>
      <c r="E39" s="1">
        <f>D39*Y39</f>
        <v>0</v>
      </c>
      <c r="F39" s="1">
        <v>10</v>
      </c>
      <c r="G39" s="1">
        <f>F39*Y39</f>
        <v>11.35</v>
      </c>
      <c r="H39" s="1">
        <v>20</v>
      </c>
      <c r="I39" s="1">
        <f>H39*Y39</f>
        <v>22.7</v>
      </c>
      <c r="J39" s="1"/>
      <c r="K39" s="1">
        <f>J39*Y39</f>
        <v>0</v>
      </c>
      <c r="L39" s="1"/>
      <c r="M39" s="1">
        <f>L39*Y39</f>
        <v>0</v>
      </c>
      <c r="N39" s="1"/>
      <c r="O39" s="1"/>
      <c r="P39" s="1" t="s">
        <v>26</v>
      </c>
      <c r="Q39" s="1"/>
      <c r="R39" s="1"/>
      <c r="S39" s="1"/>
      <c r="T39" s="1"/>
      <c r="U39" s="1"/>
      <c r="V39" s="1"/>
      <c r="W39" s="1" t="s">
        <v>113</v>
      </c>
      <c r="X39" s="1">
        <f>B39+D39+F39+H39+J39+L39</f>
        <v>30</v>
      </c>
      <c r="Y39" s="1">
        <v>1.135</v>
      </c>
      <c r="Z39" s="2">
        <f>X39*Y39</f>
        <v>34.05</v>
      </c>
      <c r="AA39" s="1"/>
      <c r="AB39" s="1">
        <v>4</v>
      </c>
    </row>
    <row r="40" spans="1:28" ht="12.75">
      <c r="A40" s="5">
        <v>42548</v>
      </c>
      <c r="B40" s="1">
        <f>60+20</f>
        <v>80</v>
      </c>
      <c r="C40" s="1">
        <f>B40*Y40</f>
        <v>90.8</v>
      </c>
      <c r="D40" s="1">
        <f>1.5+4.2</f>
        <v>5.7</v>
      </c>
      <c r="E40" s="1">
        <f>D40*Y40</f>
        <v>6.4695</v>
      </c>
      <c r="F40" s="1">
        <v>10</v>
      </c>
      <c r="G40" s="1">
        <f>F40*Y40</f>
        <v>11.35</v>
      </c>
      <c r="H40" s="1">
        <v>6</v>
      </c>
      <c r="I40" s="1">
        <f>H40*Y40</f>
        <v>6.8100000000000005</v>
      </c>
      <c r="J40" s="1"/>
      <c r="K40" s="1">
        <f>J40*Y40</f>
        <v>0</v>
      </c>
      <c r="L40" s="1"/>
      <c r="M40" s="1">
        <f>L40*Y40</f>
        <v>0</v>
      </c>
      <c r="N40" s="1"/>
      <c r="O40" s="1"/>
      <c r="P40" s="1" t="s">
        <v>26</v>
      </c>
      <c r="Q40" s="1"/>
      <c r="R40" s="1"/>
      <c r="S40" s="1"/>
      <c r="T40" s="1"/>
      <c r="U40" s="1"/>
      <c r="V40" s="1"/>
      <c r="W40" s="1" t="s">
        <v>114</v>
      </c>
      <c r="X40" s="1">
        <f>B40+D40+F40+H40+J40+L40</f>
        <v>101.7</v>
      </c>
      <c r="Y40" s="1">
        <v>1.135</v>
      </c>
      <c r="Z40" s="2">
        <f>X40*Y40</f>
        <v>115.4295</v>
      </c>
      <c r="AA40" s="1"/>
      <c r="AB40" s="1">
        <v>4</v>
      </c>
    </row>
    <row r="41" spans="1:28" ht="12.75">
      <c r="A41" s="5">
        <v>42549</v>
      </c>
      <c r="B41" s="1"/>
      <c r="C41" s="1">
        <f>B41*Y41</f>
        <v>0</v>
      </c>
      <c r="D41" s="1">
        <f>7.9+3</f>
        <v>10.9</v>
      </c>
      <c r="E41" s="1">
        <f>D41*Y41</f>
        <v>12.371500000000001</v>
      </c>
      <c r="F41" s="1">
        <v>10</v>
      </c>
      <c r="G41" s="1">
        <f>F41*Y41</f>
        <v>11.35</v>
      </c>
      <c r="H41" s="1"/>
      <c r="I41" s="1">
        <f>H41*Y41</f>
        <v>0</v>
      </c>
      <c r="J41" s="1"/>
      <c r="K41" s="1">
        <f>J41*Y41</f>
        <v>0</v>
      </c>
      <c r="L41" s="1"/>
      <c r="M41" s="1">
        <f>L41*Y41</f>
        <v>0</v>
      </c>
      <c r="N41" s="1"/>
      <c r="O41" s="1"/>
      <c r="P41" s="1"/>
      <c r="Q41" s="1"/>
      <c r="R41" s="1"/>
      <c r="S41" s="1"/>
      <c r="T41" s="1"/>
      <c r="U41" s="1" t="s">
        <v>26</v>
      </c>
      <c r="V41" s="1"/>
      <c r="W41" s="1" t="s">
        <v>115</v>
      </c>
      <c r="X41" s="1">
        <f>B41+D41+F41+H41+J41+L41</f>
        <v>20.9</v>
      </c>
      <c r="Y41" s="1">
        <v>1.135</v>
      </c>
      <c r="Z41" s="2">
        <f>X41*Y41</f>
        <v>23.7215</v>
      </c>
      <c r="AA41" s="1"/>
      <c r="AB41" s="1">
        <v>4</v>
      </c>
    </row>
    <row r="42" spans="1:28" ht="12.75">
      <c r="A42" s="5">
        <v>42550</v>
      </c>
      <c r="B42" s="1">
        <f>6</f>
        <v>6</v>
      </c>
      <c r="C42" s="1">
        <f>B42*Y42</f>
        <v>6.8100000000000005</v>
      </c>
      <c r="D42" s="1">
        <f>34</f>
        <v>34</v>
      </c>
      <c r="E42" s="1">
        <f>D42*Y42</f>
        <v>38.59</v>
      </c>
      <c r="F42" s="1">
        <v>12</v>
      </c>
      <c r="G42" s="1">
        <f>F42*Y42</f>
        <v>13.620000000000001</v>
      </c>
      <c r="H42" s="1"/>
      <c r="I42" s="1">
        <f>H42*Y42</f>
        <v>0</v>
      </c>
      <c r="J42" s="1"/>
      <c r="K42" s="1">
        <f>J42*Y42</f>
        <v>0</v>
      </c>
      <c r="L42" s="1">
        <v>40</v>
      </c>
      <c r="M42" s="1">
        <f>L42*Y42</f>
        <v>45.4</v>
      </c>
      <c r="N42" s="1"/>
      <c r="O42" s="1"/>
      <c r="P42" s="1" t="s">
        <v>26</v>
      </c>
      <c r="Q42" s="1"/>
      <c r="R42" s="1"/>
      <c r="S42" s="1"/>
      <c r="T42" s="1"/>
      <c r="U42" s="1"/>
      <c r="V42" s="1"/>
      <c r="W42" s="1" t="s">
        <v>116</v>
      </c>
      <c r="X42" s="1">
        <f>B42+D42+F42+H42+J42+L42</f>
        <v>92</v>
      </c>
      <c r="Y42" s="1">
        <v>1.135</v>
      </c>
      <c r="Z42" s="2">
        <f>X42*Y42</f>
        <v>104.42</v>
      </c>
      <c r="AA42" s="1"/>
      <c r="AB42" s="1">
        <v>4</v>
      </c>
    </row>
    <row r="43" spans="1:28" ht="12.75">
      <c r="A43" s="5">
        <v>42551</v>
      </c>
      <c r="B43" s="1">
        <v>5</v>
      </c>
      <c r="C43" s="1">
        <f>B43*Y43</f>
        <v>5.675</v>
      </c>
      <c r="D43" s="1">
        <f>2+3.5+7.3</f>
        <v>12.8</v>
      </c>
      <c r="E43" s="1">
        <f>D43*Y43</f>
        <v>14.528</v>
      </c>
      <c r="F43" s="1">
        <v>12</v>
      </c>
      <c r="G43" s="1">
        <f>F43*Y43</f>
        <v>13.620000000000001</v>
      </c>
      <c r="H43" s="1">
        <v>20</v>
      </c>
      <c r="I43" s="1">
        <f>H43*Y43</f>
        <v>22.7</v>
      </c>
      <c r="J43" s="1"/>
      <c r="K43" s="1">
        <f>J43*Y43</f>
        <v>0</v>
      </c>
      <c r="L43" s="1">
        <v>40</v>
      </c>
      <c r="M43" s="1">
        <f>L43*Y43</f>
        <v>45.4</v>
      </c>
      <c r="N43" s="1"/>
      <c r="O43" s="1"/>
      <c r="P43" s="1" t="s">
        <v>26</v>
      </c>
      <c r="Q43" s="1"/>
      <c r="R43" s="1"/>
      <c r="S43" s="1"/>
      <c r="T43" s="1"/>
      <c r="U43" s="1"/>
      <c r="V43" s="1"/>
      <c r="W43" s="1" t="s">
        <v>116</v>
      </c>
      <c r="X43" s="1">
        <f>B43+D43+F43+H43+J43+L43</f>
        <v>89.8</v>
      </c>
      <c r="Y43" s="1">
        <v>1.135</v>
      </c>
      <c r="Z43" s="2">
        <f>X43*Y43</f>
        <v>101.923</v>
      </c>
      <c r="AA43" s="1"/>
      <c r="AB43" s="1">
        <v>4</v>
      </c>
    </row>
    <row r="44" spans="1:28" ht="12.75">
      <c r="A44" s="5">
        <v>42552</v>
      </c>
      <c r="B44" s="1"/>
      <c r="C44" s="1">
        <f>B44*Y44</f>
        <v>0</v>
      </c>
      <c r="D44" s="1">
        <f>18.4+3.5</f>
        <v>21.9</v>
      </c>
      <c r="E44" s="1">
        <f>D44*Y44</f>
        <v>24.966</v>
      </c>
      <c r="F44" s="1"/>
      <c r="G44" s="1">
        <f>F44*Y44</f>
        <v>0</v>
      </c>
      <c r="H44" s="1"/>
      <c r="I44" s="1">
        <f>H44*Y44</f>
        <v>0</v>
      </c>
      <c r="J44" s="1">
        <f>4.4</f>
        <v>4.4</v>
      </c>
      <c r="K44" s="1">
        <f>J44*Y44</f>
        <v>5.016000000000001</v>
      </c>
      <c r="L44" s="1">
        <v>40</v>
      </c>
      <c r="M44" s="1">
        <f>L44*Y44</f>
        <v>45.60000000000001</v>
      </c>
      <c r="N44" s="1"/>
      <c r="O44" s="1"/>
      <c r="P44" s="1" t="s">
        <v>26</v>
      </c>
      <c r="Q44" s="1"/>
      <c r="R44" s="1"/>
      <c r="S44" s="1"/>
      <c r="T44" s="1"/>
      <c r="U44" s="1"/>
      <c r="V44" s="1"/>
      <c r="W44" s="1" t="s">
        <v>116</v>
      </c>
      <c r="X44" s="1">
        <f>B44+D44+F44+H44+J44+L44</f>
        <v>66.3</v>
      </c>
      <c r="Y44" s="1">
        <v>1.1400000000000001</v>
      </c>
      <c r="Z44" s="2">
        <f>X44*Y44</f>
        <v>75.58200000000001</v>
      </c>
      <c r="AA44" s="1"/>
      <c r="AB44" s="1">
        <v>4</v>
      </c>
    </row>
    <row r="45" spans="1:28" ht="12.75">
      <c r="A45" s="5">
        <v>42553</v>
      </c>
      <c r="B45" s="1">
        <f>6</f>
        <v>6</v>
      </c>
      <c r="C45" s="1">
        <f>B45*Y45</f>
        <v>6.840000000000001</v>
      </c>
      <c r="D45" s="1">
        <f>1+1.5</f>
        <v>2.5</v>
      </c>
      <c r="E45" s="1">
        <f>D45*Y45</f>
        <v>2.8500000000000005</v>
      </c>
      <c r="F45" s="1">
        <v>5</v>
      </c>
      <c r="G45" s="1">
        <f>F45*Y45</f>
        <v>5.700000000000001</v>
      </c>
      <c r="H45" s="1">
        <v>20</v>
      </c>
      <c r="I45" s="1">
        <f>H45*Y45</f>
        <v>22.800000000000004</v>
      </c>
      <c r="J45" s="1"/>
      <c r="K45" s="1">
        <f>J45*Y45</f>
        <v>0</v>
      </c>
      <c r="L45" s="1">
        <v>40</v>
      </c>
      <c r="M45" s="1">
        <f>L45*Y45</f>
        <v>45.60000000000001</v>
      </c>
      <c r="N45" s="1"/>
      <c r="O45" s="1"/>
      <c r="P45" s="1" t="s">
        <v>26</v>
      </c>
      <c r="Q45" s="1"/>
      <c r="R45" s="1"/>
      <c r="S45" s="1"/>
      <c r="T45" s="1"/>
      <c r="U45" s="1"/>
      <c r="V45" s="1"/>
      <c r="W45" s="1" t="s">
        <v>116</v>
      </c>
      <c r="X45" s="1">
        <f>B45+D45+F45+H45+J45+L45</f>
        <v>73.5</v>
      </c>
      <c r="Y45" s="1">
        <v>1.1400000000000001</v>
      </c>
      <c r="Z45" s="2">
        <f>X45*Y45</f>
        <v>83.79</v>
      </c>
      <c r="AA45" s="1"/>
      <c r="AB45" s="1">
        <v>4</v>
      </c>
    </row>
    <row r="46" spans="1:28" ht="12.75">
      <c r="A46" s="5">
        <v>42554</v>
      </c>
      <c r="B46" s="1">
        <f>28+60</f>
        <v>88</v>
      </c>
      <c r="C46" s="1">
        <f>B46*Y46</f>
        <v>100.32000000000001</v>
      </c>
      <c r="D46" s="1">
        <v>9.9</v>
      </c>
      <c r="E46" s="1">
        <f>D46*Y46</f>
        <v>11.286000000000001</v>
      </c>
      <c r="F46" s="1">
        <v>5</v>
      </c>
      <c r="G46" s="1">
        <f>F46*Y46</f>
        <v>5.700000000000001</v>
      </c>
      <c r="H46" s="1"/>
      <c r="I46" s="1">
        <f>H46*Y46</f>
        <v>0</v>
      </c>
      <c r="J46" s="1"/>
      <c r="K46" s="1">
        <f>J46*Y46</f>
        <v>0</v>
      </c>
      <c r="L46" s="1">
        <v>35</v>
      </c>
      <c r="M46" s="1">
        <f>L46*Y46</f>
        <v>39.900000000000006</v>
      </c>
      <c r="N46" s="1"/>
      <c r="O46" s="1"/>
      <c r="P46" s="1" t="s">
        <v>26</v>
      </c>
      <c r="Q46" s="1"/>
      <c r="R46" s="1"/>
      <c r="S46" s="1"/>
      <c r="T46" s="1"/>
      <c r="U46" s="1"/>
      <c r="V46" s="1"/>
      <c r="W46" s="1" t="s">
        <v>117</v>
      </c>
      <c r="X46" s="1">
        <f>B46+D46+F46+H46+J46+L46</f>
        <v>137.9</v>
      </c>
      <c r="Y46" s="1">
        <v>1.1400000000000001</v>
      </c>
      <c r="Z46" s="2">
        <f>X46*Y46</f>
        <v>157.20600000000002</v>
      </c>
      <c r="AA46" s="1"/>
      <c r="AB46" s="1">
        <v>4</v>
      </c>
    </row>
    <row r="47" spans="1:28" ht="12.75">
      <c r="A47" s="5">
        <v>42555</v>
      </c>
      <c r="B47" s="1"/>
      <c r="C47" s="1">
        <f>B47*Y47</f>
        <v>0</v>
      </c>
      <c r="D47" s="1">
        <f>17.2</f>
        <v>17.2</v>
      </c>
      <c r="E47" s="1">
        <f>D47*Y47</f>
        <v>18.92</v>
      </c>
      <c r="F47" s="1">
        <v>5</v>
      </c>
      <c r="G47" s="1">
        <f>F47*Y47</f>
        <v>5.5</v>
      </c>
      <c r="H47" s="1"/>
      <c r="I47" s="1">
        <f>H47*Y47</f>
        <v>0</v>
      </c>
      <c r="J47" s="1"/>
      <c r="K47" s="1">
        <f>J47*Y47</f>
        <v>0</v>
      </c>
      <c r="L47" s="1"/>
      <c r="M47" s="1">
        <f>L47*Y47</f>
        <v>0</v>
      </c>
      <c r="N47" s="1"/>
      <c r="O47" s="1"/>
      <c r="P47" s="1"/>
      <c r="Q47" s="1"/>
      <c r="R47" s="1"/>
      <c r="S47" s="1"/>
      <c r="T47" s="1"/>
      <c r="U47" s="1" t="s">
        <v>26</v>
      </c>
      <c r="V47" s="1"/>
      <c r="W47" s="1" t="s">
        <v>118</v>
      </c>
      <c r="X47" s="1">
        <f>B47+D47+F47+H47+J47+L47</f>
        <v>22.2</v>
      </c>
      <c r="Y47" s="1">
        <v>1.1</v>
      </c>
      <c r="Z47" s="2">
        <f>X47*Y47</f>
        <v>24.42</v>
      </c>
      <c r="AA47" s="1"/>
      <c r="AB47" s="1">
        <v>4</v>
      </c>
    </row>
    <row r="48" spans="1:28" ht="12.75">
      <c r="A48" s="5">
        <v>42556</v>
      </c>
      <c r="B48" s="1">
        <v>60</v>
      </c>
      <c r="C48" s="1">
        <f>B48*Y48</f>
        <v>66</v>
      </c>
      <c r="D48" s="1">
        <f>4+1.5+2+1+2.5+1</f>
        <v>12</v>
      </c>
      <c r="E48" s="1">
        <f>D48*Y48</f>
        <v>13.200000000000001</v>
      </c>
      <c r="F48" s="1"/>
      <c r="G48" s="1">
        <f>F48*Y48</f>
        <v>0</v>
      </c>
      <c r="H48" s="1"/>
      <c r="I48" s="1">
        <f>H48*Y48</f>
        <v>0</v>
      </c>
      <c r="J48" s="1"/>
      <c r="K48" s="1">
        <f>J48*Y48</f>
        <v>0</v>
      </c>
      <c r="L48" s="1">
        <v>36</v>
      </c>
      <c r="M48" s="1">
        <f>L48*Y48</f>
        <v>39.6</v>
      </c>
      <c r="N48" s="1"/>
      <c r="O48" s="1"/>
      <c r="P48" s="1" t="s">
        <v>26</v>
      </c>
      <c r="Q48" s="1"/>
      <c r="R48" s="1"/>
      <c r="S48" s="1"/>
      <c r="T48" s="1"/>
      <c r="U48" s="1"/>
      <c r="V48" s="1"/>
      <c r="W48" s="1" t="s">
        <v>119</v>
      </c>
      <c r="X48" s="1">
        <f>B48+D48+F48+H48+J48+L48</f>
        <v>108</v>
      </c>
      <c r="Y48" s="1">
        <v>1.1</v>
      </c>
      <c r="Z48" s="2">
        <f>X48*Y48</f>
        <v>118.80000000000001</v>
      </c>
      <c r="AA48" s="1"/>
      <c r="AB48" s="1">
        <v>4</v>
      </c>
    </row>
    <row r="49" spans="1:28" ht="12.75">
      <c r="A49" s="5">
        <v>42557</v>
      </c>
      <c r="B49" s="1"/>
      <c r="C49" s="1">
        <f>B49*Y49</f>
        <v>0</v>
      </c>
      <c r="D49" s="1">
        <f>1.4+3.5+2.5+2.4+1</f>
        <v>10.8</v>
      </c>
      <c r="E49" s="1">
        <f>D49*Y49</f>
        <v>11.880000000000003</v>
      </c>
      <c r="F49" s="1"/>
      <c r="G49" s="1">
        <f>F49*Y49</f>
        <v>0</v>
      </c>
      <c r="H49" s="1">
        <v>40</v>
      </c>
      <c r="I49" s="1">
        <f>H49*Y49</f>
        <v>44</v>
      </c>
      <c r="J49" s="1"/>
      <c r="K49" s="1">
        <f>J49*Y49</f>
        <v>0</v>
      </c>
      <c r="L49" s="1">
        <v>36</v>
      </c>
      <c r="M49" s="1">
        <f>L49*Y49</f>
        <v>39.6</v>
      </c>
      <c r="N49" s="1"/>
      <c r="O49" s="1"/>
      <c r="P49" s="1" t="s">
        <v>26</v>
      </c>
      <c r="Q49" s="1"/>
      <c r="R49" s="1"/>
      <c r="S49" s="1"/>
      <c r="T49" s="1"/>
      <c r="U49" s="1"/>
      <c r="V49" s="1"/>
      <c r="W49" s="1" t="s">
        <v>119</v>
      </c>
      <c r="X49" s="1">
        <f>B49+D49+F49+H49+J49+L49</f>
        <v>86.8</v>
      </c>
      <c r="Y49" s="1">
        <v>1.1</v>
      </c>
      <c r="Z49" s="2">
        <f>X49*Y49</f>
        <v>95.48</v>
      </c>
      <c r="AA49" s="1"/>
      <c r="AB49" s="1">
        <v>4</v>
      </c>
    </row>
    <row r="50" spans="1:28" ht="12.75">
      <c r="A50" s="5">
        <v>42558</v>
      </c>
      <c r="B50" s="1">
        <v>60</v>
      </c>
      <c r="C50" s="1">
        <f>B50*Y50</f>
        <v>66</v>
      </c>
      <c r="D50" s="1">
        <f>1.5+1+2.5</f>
        <v>5</v>
      </c>
      <c r="E50" s="1">
        <f>D50*Y50</f>
        <v>5.5</v>
      </c>
      <c r="F50" s="1">
        <v>5</v>
      </c>
      <c r="G50" s="1">
        <f>F50*Y50</f>
        <v>5.5</v>
      </c>
      <c r="H50" s="1"/>
      <c r="I50" s="1">
        <f>H50*Y50</f>
        <v>0</v>
      </c>
      <c r="J50" s="1"/>
      <c r="K50" s="1">
        <f>J50*Y50</f>
        <v>0</v>
      </c>
      <c r="L50" s="1"/>
      <c r="M50" s="1">
        <f>L50*Y50</f>
        <v>0</v>
      </c>
      <c r="N50" s="1"/>
      <c r="O50" s="1"/>
      <c r="P50" s="1"/>
      <c r="Q50" s="1"/>
      <c r="R50" s="1"/>
      <c r="S50" s="1"/>
      <c r="T50" s="1"/>
      <c r="U50" s="1" t="s">
        <v>26</v>
      </c>
      <c r="V50" s="1"/>
      <c r="W50" s="1" t="s">
        <v>120</v>
      </c>
      <c r="X50" s="1">
        <f>B50+D50+F50+H50+J50+L50</f>
        <v>70</v>
      </c>
      <c r="Y50" s="1">
        <v>1.1</v>
      </c>
      <c r="Z50" s="2">
        <f>X50*Y50</f>
        <v>77</v>
      </c>
      <c r="AA50" s="1"/>
      <c r="AB50" s="1">
        <v>4</v>
      </c>
    </row>
    <row r="51" spans="1:28" ht="12.75">
      <c r="A51" s="5">
        <v>42559</v>
      </c>
      <c r="B51" s="1">
        <f>40+7+2+2+2+200</f>
        <v>253</v>
      </c>
      <c r="C51" s="1">
        <f>B51*Y51</f>
        <v>278.3</v>
      </c>
      <c r="D51" s="1">
        <f>7.5+10+6+2+7.5+1+2.5+4.7</f>
        <v>41.2</v>
      </c>
      <c r="E51" s="1">
        <f>D51*Y51</f>
        <v>45.32000000000001</v>
      </c>
      <c r="F51" s="1">
        <v>6</v>
      </c>
      <c r="G51" s="1">
        <f>F51*Y51</f>
        <v>6.6000000000000005</v>
      </c>
      <c r="H51" s="1"/>
      <c r="I51" s="1">
        <f>H51*Y51</f>
        <v>0</v>
      </c>
      <c r="J51" s="1">
        <v>40</v>
      </c>
      <c r="K51" s="1">
        <f>J51*Y51</f>
        <v>44</v>
      </c>
      <c r="L51" s="1">
        <v>15</v>
      </c>
      <c r="M51" s="1">
        <f>L51*Y51</f>
        <v>16.5</v>
      </c>
      <c r="N51" s="1"/>
      <c r="O51" s="1"/>
      <c r="P51" s="1"/>
      <c r="Q51" s="1"/>
      <c r="R51" s="1"/>
      <c r="S51" s="1"/>
      <c r="T51" s="1"/>
      <c r="U51" s="1" t="s">
        <v>26</v>
      </c>
      <c r="V51" s="1"/>
      <c r="W51" s="1" t="s">
        <v>121</v>
      </c>
      <c r="X51" s="1">
        <f>B51+D51+F51+H51+J51+L51</f>
        <v>355.2</v>
      </c>
      <c r="Y51" s="1">
        <v>1.1</v>
      </c>
      <c r="Z51" s="2">
        <f>X51*Y51</f>
        <v>390.72</v>
      </c>
      <c r="AA51" s="1"/>
      <c r="AB51" s="1">
        <v>4</v>
      </c>
    </row>
    <row r="52" spans="1:28" ht="12.75">
      <c r="A52" s="5">
        <v>42560</v>
      </c>
      <c r="B52" s="1"/>
      <c r="C52" s="1">
        <f>B52*Y52</f>
        <v>0</v>
      </c>
      <c r="D52" s="1">
        <f>2+3</f>
        <v>5</v>
      </c>
      <c r="E52" s="1">
        <f>D52*Y52</f>
        <v>5.5</v>
      </c>
      <c r="F52" s="1">
        <v>6</v>
      </c>
      <c r="G52" s="1">
        <f>F52*Y52</f>
        <v>6.6000000000000005</v>
      </c>
      <c r="H52" s="1"/>
      <c r="I52" s="1">
        <f>H52*Y52</f>
        <v>0</v>
      </c>
      <c r="J52" s="1"/>
      <c r="K52" s="1">
        <f>J52*Y52</f>
        <v>0</v>
      </c>
      <c r="L52" s="1"/>
      <c r="M52" s="1">
        <f>L52*Y52</f>
        <v>0</v>
      </c>
      <c r="N52" s="1"/>
      <c r="O52" s="1"/>
      <c r="P52" s="1"/>
      <c r="Q52" s="1"/>
      <c r="R52" s="1"/>
      <c r="S52" s="1"/>
      <c r="T52" s="1"/>
      <c r="U52" s="1" t="s">
        <v>26</v>
      </c>
      <c r="V52" s="1"/>
      <c r="W52" s="1" t="s">
        <v>122</v>
      </c>
      <c r="X52" s="1">
        <f>B52+D52+F52+H52+J52+L52</f>
        <v>11</v>
      </c>
      <c r="Y52" s="1">
        <v>1.1</v>
      </c>
      <c r="Z52" s="2">
        <f>X52*Y52</f>
        <v>12.100000000000001</v>
      </c>
      <c r="AA52" s="1"/>
      <c r="AB52" s="1">
        <v>4</v>
      </c>
    </row>
    <row r="53" spans="1:28" ht="12.75">
      <c r="A53" s="5">
        <v>42561</v>
      </c>
      <c r="B53" s="1"/>
      <c r="C53" s="1">
        <f>B53*Y53</f>
        <v>0</v>
      </c>
      <c r="D53" s="1"/>
      <c r="E53" s="1">
        <f>D53*Y53</f>
        <v>0</v>
      </c>
      <c r="F53" s="1"/>
      <c r="G53" s="1">
        <f>F53*Y53</f>
        <v>0</v>
      </c>
      <c r="H53" s="1"/>
      <c r="I53" s="1">
        <f>H53*Y53</f>
        <v>0</v>
      </c>
      <c r="J53" s="1"/>
      <c r="K53" s="1">
        <f>J53*Y53</f>
        <v>0</v>
      </c>
      <c r="L53" s="1"/>
      <c r="M53" s="1">
        <f>L53*Y53</f>
        <v>0</v>
      </c>
      <c r="N53" s="1"/>
      <c r="O53" s="1"/>
      <c r="P53" s="1"/>
      <c r="Q53" s="1"/>
      <c r="R53" s="1"/>
      <c r="S53" s="1"/>
      <c r="T53" s="1"/>
      <c r="U53" s="1" t="s">
        <v>26</v>
      </c>
      <c r="V53" s="1"/>
      <c r="W53" s="1" t="s">
        <v>123</v>
      </c>
      <c r="X53" s="1">
        <f>B53+D53+F53+H53+J53+L53</f>
        <v>0</v>
      </c>
      <c r="Y53" s="1">
        <v>1.1</v>
      </c>
      <c r="Z53" s="2">
        <f>X53*Y53</f>
        <v>0</v>
      </c>
      <c r="AA53" s="1"/>
      <c r="AB53" s="1">
        <v>4</v>
      </c>
    </row>
    <row r="54" spans="1:28" ht="12.75">
      <c r="A54" s="5">
        <v>42562</v>
      </c>
      <c r="B54" s="1"/>
      <c r="C54" s="1">
        <f>B54*Y54</f>
        <v>0</v>
      </c>
      <c r="D54" s="1"/>
      <c r="E54" s="1">
        <f>D54*Y54</f>
        <v>0</v>
      </c>
      <c r="F54" s="1"/>
      <c r="G54" s="1">
        <f>F54*Y54</f>
        <v>0</v>
      </c>
      <c r="H54" s="1"/>
      <c r="I54" s="1">
        <f>H54*Y54</f>
        <v>0</v>
      </c>
      <c r="J54" s="1"/>
      <c r="K54" s="1">
        <f>J54*Y54</f>
        <v>0</v>
      </c>
      <c r="L54" s="1"/>
      <c r="M54" s="1">
        <f>L54*Y54</f>
        <v>0</v>
      </c>
      <c r="N54" s="1"/>
      <c r="O54" s="1"/>
      <c r="P54" s="1"/>
      <c r="Q54" s="1"/>
      <c r="R54" s="1"/>
      <c r="S54" s="1"/>
      <c r="T54" s="1"/>
      <c r="U54" s="1" t="s">
        <v>26</v>
      </c>
      <c r="V54" s="1"/>
      <c r="W54" s="1" t="s">
        <v>123</v>
      </c>
      <c r="X54" s="1">
        <f>B54+D54+F54+H54+J54+L54</f>
        <v>0</v>
      </c>
      <c r="Y54" s="1">
        <v>1.1</v>
      </c>
      <c r="Z54" s="2">
        <f>X54*Y54</f>
        <v>0</v>
      </c>
      <c r="AA54" s="1"/>
      <c r="AB54" s="1">
        <v>4</v>
      </c>
    </row>
    <row r="55" spans="1:28" ht="12.75">
      <c r="A55" s="5">
        <v>42563</v>
      </c>
      <c r="B55" s="1">
        <f>5</f>
        <v>5</v>
      </c>
      <c r="C55" s="1">
        <f>B55*Y55</f>
        <v>5.5</v>
      </c>
      <c r="D55" s="1">
        <f>15.5</f>
        <v>15.5</v>
      </c>
      <c r="E55" s="1">
        <f>D55*Y55</f>
        <v>17.05</v>
      </c>
      <c r="F55" s="1">
        <v>12.5</v>
      </c>
      <c r="G55" s="1">
        <f>F55*Y55</f>
        <v>13.750000000000002</v>
      </c>
      <c r="H55" s="1"/>
      <c r="I55" s="1">
        <f>H55*Y55</f>
        <v>0</v>
      </c>
      <c r="J55" s="1"/>
      <c r="K55" s="1">
        <f>J55*Y55</f>
        <v>0</v>
      </c>
      <c r="L55" s="1"/>
      <c r="M55" s="1">
        <f>L55*Y55</f>
        <v>0</v>
      </c>
      <c r="N55" s="1"/>
      <c r="O55" s="1"/>
      <c r="P55" s="1" t="s">
        <v>26</v>
      </c>
      <c r="Q55" s="1"/>
      <c r="R55" s="1"/>
      <c r="S55" s="1"/>
      <c r="T55" s="1"/>
      <c r="U55" s="1"/>
      <c r="V55" s="1"/>
      <c r="W55" s="1" t="s">
        <v>124</v>
      </c>
      <c r="X55" s="1">
        <f>B55+D55+F55+H55+J55+L55</f>
        <v>33</v>
      </c>
      <c r="Y55" s="1">
        <v>1.1</v>
      </c>
      <c r="Z55" s="2">
        <f>X55*Y55</f>
        <v>36.300000000000004</v>
      </c>
      <c r="AA55" s="1"/>
      <c r="AB55" s="1">
        <v>4</v>
      </c>
    </row>
    <row r="56" spans="1:28" ht="12.75">
      <c r="A56" s="5">
        <v>42564</v>
      </c>
      <c r="B56" s="1">
        <f>2+3+3+2</f>
        <v>10</v>
      </c>
      <c r="C56" s="1">
        <f>B56*Y56</f>
        <v>11</v>
      </c>
      <c r="D56" s="1">
        <f>3.5+3+3</f>
        <v>9.5</v>
      </c>
      <c r="E56" s="1">
        <f>D56*Y56</f>
        <v>10.450000000000001</v>
      </c>
      <c r="F56" s="1">
        <f>13.5</f>
        <v>13.5</v>
      </c>
      <c r="G56" s="1">
        <f>F56*Y56</f>
        <v>14.850000000000001</v>
      </c>
      <c r="H56" s="1">
        <v>20</v>
      </c>
      <c r="I56" s="1">
        <f>H56*Y56</f>
        <v>22</v>
      </c>
      <c r="J56" s="1"/>
      <c r="K56" s="1">
        <f>J56*Y56</f>
        <v>0</v>
      </c>
      <c r="L56" s="1"/>
      <c r="M56" s="1">
        <f>L56*Y56</f>
        <v>0</v>
      </c>
      <c r="N56" s="1"/>
      <c r="O56" s="1"/>
      <c r="P56" s="1" t="s">
        <v>26</v>
      </c>
      <c r="Q56" s="1"/>
      <c r="R56" s="1"/>
      <c r="S56" s="1"/>
      <c r="T56" s="1"/>
      <c r="U56" s="1"/>
      <c r="V56" s="1"/>
      <c r="W56" s="1" t="s">
        <v>124</v>
      </c>
      <c r="X56" s="1">
        <f>B56+D56+F56+H56+J56+L56</f>
        <v>53</v>
      </c>
      <c r="Y56" s="1">
        <v>1.1</v>
      </c>
      <c r="Z56" s="2">
        <f>X56*Y56</f>
        <v>58.300000000000004</v>
      </c>
      <c r="AA56" s="1"/>
      <c r="AB56" s="1">
        <v>4</v>
      </c>
    </row>
    <row r="57" spans="1:28" ht="12.75">
      <c r="A57" s="5">
        <v>42565</v>
      </c>
      <c r="B57" s="1"/>
      <c r="C57" s="1">
        <f>B57*Y57</f>
        <v>0</v>
      </c>
      <c r="D57" s="1">
        <f>23.5</f>
        <v>23.5</v>
      </c>
      <c r="E57" s="1">
        <f>D57*Y57</f>
        <v>25.85</v>
      </c>
      <c r="F57" s="1">
        <v>10</v>
      </c>
      <c r="G57" s="1">
        <f>F57*Y57</f>
        <v>11</v>
      </c>
      <c r="H57" s="1"/>
      <c r="I57" s="1">
        <f>H57*Y57</f>
        <v>0</v>
      </c>
      <c r="J57" s="1">
        <v>8</v>
      </c>
      <c r="K57" s="1">
        <f>J57*Y57</f>
        <v>8.8</v>
      </c>
      <c r="L57" s="1"/>
      <c r="M57" s="1">
        <f>L57*Y57</f>
        <v>0</v>
      </c>
      <c r="N57" s="1"/>
      <c r="O57" s="1"/>
      <c r="P57" s="1" t="s">
        <v>26</v>
      </c>
      <c r="Q57" s="1"/>
      <c r="R57" s="1"/>
      <c r="S57" s="1"/>
      <c r="T57" s="1"/>
      <c r="U57" s="1"/>
      <c r="V57" s="1"/>
      <c r="W57" s="1" t="s">
        <v>124</v>
      </c>
      <c r="X57" s="1">
        <f>B57+D57+F57+H57+J57+L57</f>
        <v>41.5</v>
      </c>
      <c r="Y57" s="1">
        <v>1.1</v>
      </c>
      <c r="Z57" s="2">
        <f>X57*Y57</f>
        <v>45.650000000000006</v>
      </c>
      <c r="AA57" s="1"/>
      <c r="AB57" s="1">
        <v>4</v>
      </c>
    </row>
    <row r="58" spans="1:28" ht="12.75">
      <c r="A58" s="5">
        <v>42566</v>
      </c>
      <c r="B58" s="1"/>
      <c r="C58" s="1">
        <f>B58*Y58</f>
        <v>0</v>
      </c>
      <c r="D58" s="1"/>
      <c r="E58" s="1">
        <f>D58*Y58</f>
        <v>0</v>
      </c>
      <c r="F58" s="1"/>
      <c r="G58" s="1">
        <f>F58*Y58</f>
        <v>0</v>
      </c>
      <c r="H58" s="1"/>
      <c r="I58" s="1">
        <f>H58*Y58</f>
        <v>0</v>
      </c>
      <c r="J58" s="1">
        <v>5</v>
      </c>
      <c r="K58" s="1">
        <f>J58*Y58</f>
        <v>5.5</v>
      </c>
      <c r="L58" s="1"/>
      <c r="M58" s="1">
        <f>L58*Y58</f>
        <v>0</v>
      </c>
      <c r="N58" s="1"/>
      <c r="O58" s="1"/>
      <c r="P58" s="1" t="s">
        <v>26</v>
      </c>
      <c r="Q58" s="1"/>
      <c r="R58" s="1"/>
      <c r="S58" s="1"/>
      <c r="T58" s="1"/>
      <c r="U58" s="1"/>
      <c r="V58" s="1"/>
      <c r="W58" s="1" t="s">
        <v>125</v>
      </c>
      <c r="X58" s="1">
        <f>B58+D58+F58+H58+J58+L58</f>
        <v>5</v>
      </c>
      <c r="Y58" s="1">
        <v>1.1</v>
      </c>
      <c r="Z58" s="2">
        <f>X58*Y58</f>
        <v>5.5</v>
      </c>
      <c r="AA58" s="1"/>
      <c r="AB58" s="1">
        <v>4</v>
      </c>
    </row>
    <row r="59" spans="1:28" ht="12.75">
      <c r="A59" s="5">
        <v>42567</v>
      </c>
      <c r="B59" s="1">
        <v>3</v>
      </c>
      <c r="C59" s="1">
        <f>B59*Y59</f>
        <v>3.3000000000000003</v>
      </c>
      <c r="D59" s="1">
        <f>4.2</f>
        <v>4.2</v>
      </c>
      <c r="E59" s="1">
        <f>D59*Y59</f>
        <v>4.620000000000001</v>
      </c>
      <c r="F59" s="1">
        <v>5</v>
      </c>
      <c r="G59" s="1">
        <f>F59*Y59</f>
        <v>5.5</v>
      </c>
      <c r="H59" s="1"/>
      <c r="I59" s="1">
        <f>H59*Y59</f>
        <v>0</v>
      </c>
      <c r="J59" s="1">
        <f>5.8+5.5</f>
        <v>11.3</v>
      </c>
      <c r="K59" s="1">
        <f>J59*Y59</f>
        <v>12.430000000000001</v>
      </c>
      <c r="L59" s="1">
        <v>40</v>
      </c>
      <c r="M59" s="1">
        <f>L59*Y59</f>
        <v>44</v>
      </c>
      <c r="N59" s="1"/>
      <c r="O59" s="1"/>
      <c r="P59" s="1" t="s">
        <v>26</v>
      </c>
      <c r="Q59" s="1"/>
      <c r="R59" s="1"/>
      <c r="S59" s="1"/>
      <c r="T59" s="1"/>
      <c r="U59" s="1"/>
      <c r="V59" s="1"/>
      <c r="W59" s="1" t="s">
        <v>124</v>
      </c>
      <c r="X59" s="1">
        <f>B59+D59+F59+H59+J59+L59</f>
        <v>63.5</v>
      </c>
      <c r="Y59" s="1">
        <v>1.1</v>
      </c>
      <c r="Z59" s="2">
        <f>X59*Y59</f>
        <v>69.85000000000001</v>
      </c>
      <c r="AA59" s="1"/>
      <c r="AB59" s="1">
        <v>4</v>
      </c>
    </row>
    <row r="60" spans="1:28" ht="12.75">
      <c r="A60" s="5">
        <v>42568</v>
      </c>
      <c r="B60" s="1"/>
      <c r="C60" s="1">
        <f>B60*Y60</f>
        <v>0</v>
      </c>
      <c r="D60" s="1">
        <f>7.5+8.2</f>
        <v>15.7</v>
      </c>
      <c r="E60" s="1">
        <f>D60*Y60</f>
        <v>17.27</v>
      </c>
      <c r="F60" s="1">
        <v>9</v>
      </c>
      <c r="G60" s="1">
        <f>F60*Y60</f>
        <v>9.9</v>
      </c>
      <c r="H60" s="1"/>
      <c r="I60" s="1">
        <f>H60*Y60</f>
        <v>0</v>
      </c>
      <c r="J60" s="1"/>
      <c r="K60" s="1">
        <f>J60*Y60</f>
        <v>0</v>
      </c>
      <c r="L60" s="1">
        <v>40</v>
      </c>
      <c r="M60" s="1">
        <f>L60*Y60</f>
        <v>44</v>
      </c>
      <c r="N60" s="1"/>
      <c r="O60" s="1"/>
      <c r="P60" s="1" t="s">
        <v>26</v>
      </c>
      <c r="Q60" s="1"/>
      <c r="R60" s="1"/>
      <c r="S60" s="1"/>
      <c r="T60" s="1"/>
      <c r="U60" s="1"/>
      <c r="V60" s="1"/>
      <c r="W60" s="1" t="s">
        <v>124</v>
      </c>
      <c r="X60" s="1">
        <f>B60+D60+F60+H60+J60+L60</f>
        <v>64.7</v>
      </c>
      <c r="Y60" s="1">
        <v>1.1</v>
      </c>
      <c r="Z60" s="2">
        <f>X60*Y60</f>
        <v>71.17000000000002</v>
      </c>
      <c r="AA60" s="1"/>
      <c r="AB60" s="1">
        <v>4</v>
      </c>
    </row>
    <row r="61" spans="1:28" ht="12.75">
      <c r="A61" s="5">
        <v>42569</v>
      </c>
      <c r="B61" s="1"/>
      <c r="C61" s="1">
        <f>B61*Y61</f>
        <v>0</v>
      </c>
      <c r="D61" s="1"/>
      <c r="E61" s="1">
        <f>D61*Y61</f>
        <v>0</v>
      </c>
      <c r="F61" s="1"/>
      <c r="G61" s="1">
        <f>F61*Y61</f>
        <v>0</v>
      </c>
      <c r="H61" s="1"/>
      <c r="I61" s="1">
        <f>H61*Y61</f>
        <v>0</v>
      </c>
      <c r="J61" s="1">
        <v>100</v>
      </c>
      <c r="K61" s="1">
        <f>J61*Y61</f>
        <v>110.00000000000001</v>
      </c>
      <c r="L61" s="1"/>
      <c r="M61" s="1">
        <f>L61*Y61</f>
        <v>0</v>
      </c>
      <c r="N61" s="1"/>
      <c r="O61" s="1"/>
      <c r="P61" s="1" t="s">
        <v>26</v>
      </c>
      <c r="Q61" s="1"/>
      <c r="R61" s="1"/>
      <c r="S61" s="1"/>
      <c r="T61" s="1"/>
      <c r="U61" s="1"/>
      <c r="V61" s="1"/>
      <c r="W61" s="1" t="s">
        <v>125</v>
      </c>
      <c r="X61" s="1">
        <f>B61+D61+F61+H61+J61+L61</f>
        <v>100</v>
      </c>
      <c r="Y61" s="1">
        <v>1.1</v>
      </c>
      <c r="Z61" s="2">
        <f>X61*Y61</f>
        <v>110.00000000000001</v>
      </c>
      <c r="AA61" s="1"/>
      <c r="AB61" s="1">
        <v>4</v>
      </c>
    </row>
    <row r="62" spans="1:28" ht="12.75">
      <c r="A62" s="5">
        <v>42570</v>
      </c>
      <c r="B62" s="1"/>
      <c r="C62" s="1">
        <f>B62*Y62</f>
        <v>0</v>
      </c>
      <c r="D62" s="1"/>
      <c r="E62" s="1">
        <f>D62*Y62</f>
        <v>0</v>
      </c>
      <c r="F62" s="1"/>
      <c r="G62" s="1">
        <f>F62*Y62</f>
        <v>0</v>
      </c>
      <c r="H62" s="1"/>
      <c r="I62" s="1">
        <f>H62*Y62</f>
        <v>0</v>
      </c>
      <c r="J62" s="1"/>
      <c r="K62" s="1">
        <f>J62*Y62</f>
        <v>0</v>
      </c>
      <c r="L62" s="1"/>
      <c r="M62" s="1">
        <f>L62*Y62</f>
        <v>0</v>
      </c>
      <c r="N62" s="1"/>
      <c r="O62" s="1"/>
      <c r="P62" s="1" t="s">
        <v>26</v>
      </c>
      <c r="Q62" s="1"/>
      <c r="R62" s="1"/>
      <c r="S62" s="1"/>
      <c r="T62" s="1"/>
      <c r="U62" s="1"/>
      <c r="V62" s="1"/>
      <c r="W62" s="1" t="s">
        <v>125</v>
      </c>
      <c r="X62" s="1">
        <f>B62+D62+F62+H62+J62+L62</f>
        <v>0</v>
      </c>
      <c r="Y62" s="1">
        <v>1.07</v>
      </c>
      <c r="Z62" s="2">
        <f>X62*Y62</f>
        <v>0</v>
      </c>
      <c r="AA62" s="1"/>
      <c r="AB62" s="1">
        <v>4</v>
      </c>
    </row>
    <row r="63" spans="1:28" ht="12.75">
      <c r="A63" s="5">
        <v>42571</v>
      </c>
      <c r="B63" s="1"/>
      <c r="C63" s="1">
        <f>B63*Y63</f>
        <v>0</v>
      </c>
      <c r="D63" s="1">
        <v>8</v>
      </c>
      <c r="E63" s="1">
        <f>D63*Y63</f>
        <v>8.56</v>
      </c>
      <c r="F63" s="1"/>
      <c r="G63" s="1">
        <f>F63*Y63</f>
        <v>0</v>
      </c>
      <c r="H63" s="1"/>
      <c r="I63" s="1">
        <f>H63*Y63</f>
        <v>0</v>
      </c>
      <c r="J63" s="1"/>
      <c r="K63" s="1">
        <f>J63*Y63</f>
        <v>0</v>
      </c>
      <c r="L63" s="1">
        <v>40</v>
      </c>
      <c r="M63" s="1">
        <f>L63*Y63</f>
        <v>42.800000000000004</v>
      </c>
      <c r="N63" s="1"/>
      <c r="O63" s="1"/>
      <c r="P63" s="1" t="s">
        <v>26</v>
      </c>
      <c r="Q63" s="1"/>
      <c r="R63" s="1"/>
      <c r="S63" s="1"/>
      <c r="T63" s="1"/>
      <c r="U63" s="1"/>
      <c r="V63" s="1"/>
      <c r="W63" s="1" t="s">
        <v>124</v>
      </c>
      <c r="X63" s="1">
        <f>B63+D63+F63+H63+J63+L63</f>
        <v>48</v>
      </c>
      <c r="Y63" s="1">
        <v>1.07</v>
      </c>
      <c r="Z63" s="2">
        <f>X63*Y63</f>
        <v>51.36</v>
      </c>
      <c r="AA63" s="1"/>
      <c r="AB63" s="1">
        <v>4</v>
      </c>
    </row>
    <row r="64" spans="1:28" ht="12.75">
      <c r="A64" s="5">
        <v>42572</v>
      </c>
      <c r="B64" s="1">
        <f>200+4+3.5</f>
        <v>207.5</v>
      </c>
      <c r="C64" s="1">
        <f>B64*Y64</f>
        <v>222.025</v>
      </c>
      <c r="D64" s="1">
        <f>21.8+16.8+6</f>
        <v>44.6</v>
      </c>
      <c r="E64" s="1">
        <f>D64*Y64</f>
        <v>47.722</v>
      </c>
      <c r="F64" s="1">
        <f>12+2</f>
        <v>14</v>
      </c>
      <c r="G64" s="1">
        <f>F64*Y64</f>
        <v>14.98</v>
      </c>
      <c r="H64" s="1"/>
      <c r="I64" s="1">
        <f>H64*Y64</f>
        <v>0</v>
      </c>
      <c r="J64" s="1">
        <v>2</v>
      </c>
      <c r="K64" s="1">
        <f>J64*Y64</f>
        <v>2.14</v>
      </c>
      <c r="L64" s="1"/>
      <c r="M64" s="1">
        <f>L64*Y64</f>
        <v>0</v>
      </c>
      <c r="N64" s="1"/>
      <c r="O64" s="1"/>
      <c r="P64" s="1"/>
      <c r="Q64" s="1"/>
      <c r="R64" s="1"/>
      <c r="S64" s="1"/>
      <c r="T64" s="1"/>
      <c r="U64" s="1" t="s">
        <v>26</v>
      </c>
      <c r="V64" s="1"/>
      <c r="W64" s="1" t="s">
        <v>123</v>
      </c>
      <c r="X64" s="1">
        <f>B64+D64+F64+H64+J64+L64</f>
        <v>268.1</v>
      </c>
      <c r="Y64" s="1">
        <v>1.07</v>
      </c>
      <c r="Z64" s="2">
        <f>X64*Y64</f>
        <v>286.867</v>
      </c>
      <c r="AA64" s="1"/>
      <c r="AB64" s="1">
        <v>4</v>
      </c>
    </row>
    <row r="65" spans="1:28" ht="12.75">
      <c r="A65" s="5">
        <v>42573</v>
      </c>
      <c r="B65" s="1"/>
      <c r="C65" s="1">
        <f>B65*Y65</f>
        <v>0</v>
      </c>
      <c r="D65" s="1"/>
      <c r="E65" s="1">
        <f>D65*Y65</f>
        <v>0</v>
      </c>
      <c r="F65" s="1"/>
      <c r="G65" s="1">
        <f>F65*Y65</f>
        <v>0</v>
      </c>
      <c r="H65" s="1"/>
      <c r="I65" s="1">
        <f>H65*Y65</f>
        <v>0</v>
      </c>
      <c r="J65" s="1"/>
      <c r="K65" s="1">
        <f>J65*Y65</f>
        <v>0</v>
      </c>
      <c r="L65" s="1"/>
      <c r="M65" s="1">
        <f>L65*Y65</f>
        <v>0</v>
      </c>
      <c r="N65" s="1"/>
      <c r="O65" s="1"/>
      <c r="P65" s="1"/>
      <c r="Q65" s="1"/>
      <c r="R65" s="1"/>
      <c r="S65" s="1"/>
      <c r="T65" s="1"/>
      <c r="U65" s="1" t="s">
        <v>26</v>
      </c>
      <c r="V65" s="1"/>
      <c r="W65" s="1" t="s">
        <v>123</v>
      </c>
      <c r="X65" s="1">
        <f>B65+D65+F65+H65+J65+L65</f>
        <v>0</v>
      </c>
      <c r="Y65" s="1">
        <v>1.07</v>
      </c>
      <c r="Z65" s="2">
        <f>X65*Y65</f>
        <v>0</v>
      </c>
      <c r="AA65" s="1"/>
      <c r="AB65" s="1">
        <v>4</v>
      </c>
    </row>
    <row r="66" spans="1:28" ht="12.75">
      <c r="A66" s="5">
        <v>42574</v>
      </c>
      <c r="B66" s="1"/>
      <c r="C66" s="1">
        <f>B66*Y66</f>
        <v>0</v>
      </c>
      <c r="D66" s="1"/>
      <c r="E66" s="1">
        <f>D66*Y66</f>
        <v>0</v>
      </c>
      <c r="F66" s="1">
        <v>1</v>
      </c>
      <c r="G66" s="1">
        <f>F66*Y66</f>
        <v>1.07</v>
      </c>
      <c r="H66" s="1"/>
      <c r="I66" s="1">
        <f>H66*Y66</f>
        <v>0</v>
      </c>
      <c r="J66" s="1"/>
      <c r="K66" s="1">
        <f>J66*Y66</f>
        <v>0</v>
      </c>
      <c r="L66" s="1"/>
      <c r="M66" s="1">
        <f>L66*Y66</f>
        <v>0</v>
      </c>
      <c r="N66" s="1"/>
      <c r="O66" s="1"/>
      <c r="P66" s="1"/>
      <c r="Q66" s="1"/>
      <c r="R66" s="1"/>
      <c r="S66" s="1"/>
      <c r="T66" s="1"/>
      <c r="U66" s="1" t="s">
        <v>26</v>
      </c>
      <c r="V66" s="1"/>
      <c r="W66" s="1" t="s">
        <v>123</v>
      </c>
      <c r="X66" s="1">
        <f>B66+D66+F66+H66+J66+L66</f>
        <v>1</v>
      </c>
      <c r="Y66" s="1">
        <v>1.07</v>
      </c>
      <c r="Z66" s="2">
        <f>X66*Y66</f>
        <v>1.07</v>
      </c>
      <c r="AA66" s="1"/>
      <c r="AB66" s="1">
        <v>4</v>
      </c>
    </row>
    <row r="67" spans="1:28" ht="12.75">
      <c r="A67" s="5">
        <v>42575</v>
      </c>
      <c r="B67" s="1">
        <f>20+3+2</f>
        <v>25</v>
      </c>
      <c r="C67" s="1">
        <f>B67*Y67</f>
        <v>26.75</v>
      </c>
      <c r="D67" s="1">
        <v>16.6</v>
      </c>
      <c r="E67" s="1">
        <f>D67*Y67</f>
        <v>17.762000000000004</v>
      </c>
      <c r="F67" s="1">
        <v>12</v>
      </c>
      <c r="G67" s="1">
        <f>F67*Y67</f>
        <v>12.84</v>
      </c>
      <c r="H67" s="1"/>
      <c r="I67" s="1">
        <f>H67*Y67</f>
        <v>0</v>
      </c>
      <c r="J67" s="1"/>
      <c r="K67" s="1">
        <f>J67*Y67</f>
        <v>0</v>
      </c>
      <c r="L67" s="1">
        <v>35</v>
      </c>
      <c r="M67" s="1">
        <f>L67*Y67</f>
        <v>37.45</v>
      </c>
      <c r="N67" s="1"/>
      <c r="O67" s="1"/>
      <c r="P67" s="1" t="s">
        <v>26</v>
      </c>
      <c r="Q67" s="1"/>
      <c r="R67" s="1"/>
      <c r="S67" s="1"/>
      <c r="T67" s="1"/>
      <c r="U67" s="1"/>
      <c r="V67" s="1"/>
      <c r="W67" s="1" t="s">
        <v>126</v>
      </c>
      <c r="X67" s="1">
        <f>B67+D67+F67+H67+J67+L67</f>
        <v>88.6</v>
      </c>
      <c r="Y67" s="1">
        <v>1.07</v>
      </c>
      <c r="Z67" s="2">
        <f>X67*Y67</f>
        <v>94.80199999999999</v>
      </c>
      <c r="AA67" s="1"/>
      <c r="AB67" s="1">
        <v>4</v>
      </c>
    </row>
    <row r="68" spans="1:28" ht="12.75">
      <c r="A68" s="5">
        <v>42576</v>
      </c>
      <c r="B68" s="1">
        <v>80</v>
      </c>
      <c r="C68" s="1">
        <f>B68*Y68</f>
        <v>85.60000000000001</v>
      </c>
      <c r="D68" s="1">
        <f>6.1+32</f>
        <v>38.1</v>
      </c>
      <c r="E68" s="1">
        <f>D68*Y68</f>
        <v>40.767</v>
      </c>
      <c r="F68" s="1">
        <v>12</v>
      </c>
      <c r="G68" s="1">
        <f>F68*Y68</f>
        <v>12.84</v>
      </c>
      <c r="H68" s="1"/>
      <c r="I68" s="1">
        <f>H68*Y68</f>
        <v>0</v>
      </c>
      <c r="J68" s="1"/>
      <c r="K68" s="1">
        <f>J68*Y68</f>
        <v>0</v>
      </c>
      <c r="L68" s="1">
        <v>35</v>
      </c>
      <c r="M68" s="1">
        <f>L68*Y68</f>
        <v>37.45</v>
      </c>
      <c r="N68" s="1"/>
      <c r="O68" s="1"/>
      <c r="P68" s="1" t="s">
        <v>26</v>
      </c>
      <c r="Q68" s="1"/>
      <c r="R68" s="1"/>
      <c r="S68" s="1"/>
      <c r="T68" s="1"/>
      <c r="U68" s="1"/>
      <c r="V68" s="1"/>
      <c r="W68" s="1" t="s">
        <v>127</v>
      </c>
      <c r="X68" s="1">
        <f>B68+D68+F68+H68+J68+L68</f>
        <v>165.1</v>
      </c>
      <c r="Y68" s="1">
        <v>1.07</v>
      </c>
      <c r="Z68" s="2">
        <f>X68*Y68</f>
        <v>176.657</v>
      </c>
      <c r="AA68" s="1"/>
      <c r="AB68" s="1">
        <v>4</v>
      </c>
    </row>
    <row r="69" spans="1:28" ht="12.75">
      <c r="A69" s="5">
        <v>42577</v>
      </c>
      <c r="B69" s="1">
        <v>3</v>
      </c>
      <c r="C69" s="1">
        <f>B69*Y69</f>
        <v>3.21</v>
      </c>
      <c r="D69" s="1">
        <v>11.5</v>
      </c>
      <c r="E69" s="1">
        <f>D69*Y69</f>
        <v>12.305000000000001</v>
      </c>
      <c r="F69" s="1">
        <v>10</v>
      </c>
      <c r="G69" s="1">
        <f>F69*Y69</f>
        <v>10.700000000000001</v>
      </c>
      <c r="H69" s="1"/>
      <c r="I69" s="1">
        <f>H69*Y69</f>
        <v>0</v>
      </c>
      <c r="J69" s="1"/>
      <c r="K69" s="1">
        <f>J69*Y69</f>
        <v>0</v>
      </c>
      <c r="L69" s="1"/>
      <c r="M69" s="1">
        <f>L69*Y69</f>
        <v>0</v>
      </c>
      <c r="N69" s="1"/>
      <c r="O69" s="1"/>
      <c r="P69" s="1"/>
      <c r="Q69" s="1"/>
      <c r="R69" s="1"/>
      <c r="S69" s="1"/>
      <c r="T69" s="1"/>
      <c r="U69" s="1" t="s">
        <v>26</v>
      </c>
      <c r="V69" s="1"/>
      <c r="W69" s="1" t="s">
        <v>128</v>
      </c>
      <c r="X69" s="1">
        <f>B69+D69+F69+H69+J69+L69</f>
        <v>24.5</v>
      </c>
      <c r="Y69" s="1">
        <v>1.07</v>
      </c>
      <c r="Z69" s="2">
        <f>X69*Y69</f>
        <v>26.215</v>
      </c>
      <c r="AA69" s="1"/>
      <c r="AB69" s="1">
        <v>4</v>
      </c>
    </row>
    <row r="70" spans="1:28" ht="12.75">
      <c r="A70" s="5">
        <v>42578</v>
      </c>
      <c r="B70" s="1">
        <f>3+12+12+3+15+15</f>
        <v>60</v>
      </c>
      <c r="C70" s="1">
        <f>B70*Y70</f>
        <v>64.2</v>
      </c>
      <c r="D70" s="1">
        <f>6+2</f>
        <v>8</v>
      </c>
      <c r="E70" s="1">
        <f>D70*Y70</f>
        <v>8.56</v>
      </c>
      <c r="F70" s="1"/>
      <c r="G70" s="1">
        <f>F70*Y70</f>
        <v>0</v>
      </c>
      <c r="H70" s="1"/>
      <c r="I70" s="1">
        <f>H70*Y70</f>
        <v>0</v>
      </c>
      <c r="J70" s="1"/>
      <c r="K70" s="1">
        <f>J70*Y70</f>
        <v>0</v>
      </c>
      <c r="L70" s="1"/>
      <c r="M70" s="1">
        <f>L70*Y70</f>
        <v>0</v>
      </c>
      <c r="N70" s="1"/>
      <c r="O70" s="1"/>
      <c r="P70" s="1"/>
      <c r="Q70" s="1"/>
      <c r="R70" s="1"/>
      <c r="S70" s="1"/>
      <c r="T70" s="1"/>
      <c r="U70" s="1"/>
      <c r="V70" s="1"/>
      <c r="W70" s="1" t="s">
        <v>129</v>
      </c>
      <c r="X70" s="1">
        <f>B70+D70+F70+H70+J70+L70</f>
        <v>68</v>
      </c>
      <c r="Y70" s="1">
        <v>1.07</v>
      </c>
      <c r="Z70" s="2">
        <f>X70*Y70</f>
        <v>72.76</v>
      </c>
      <c r="AA70" s="1"/>
      <c r="AB70" s="1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135"/>
  <sheetViews>
    <sheetView tabSelected="1" zoomScale="90" zoomScaleNormal="90" workbookViewId="0" topLeftCell="A1">
      <selection activeCell="A33" sqref="A33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9.42187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6" width="8.57421875" style="1" customWidth="1"/>
    <col min="17" max="17" width="16.710937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9.71093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4.28125" style="1" customWidth="1"/>
    <col min="39" max="39" width="11.57421875" style="1" customWidth="1"/>
    <col min="40" max="40" width="2.57421875" style="1" customWidth="1"/>
    <col min="41" max="41" width="13.421875" style="1" customWidth="1"/>
    <col min="42" max="42" width="11.57421875" style="1" customWidth="1"/>
    <col min="43" max="43" width="2.8515625" style="1" customWidth="1"/>
    <col min="44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42705</v>
      </c>
      <c r="C2" s="1">
        <f>B2*AA2</f>
        <v>0</v>
      </c>
      <c r="D2" s="1">
        <f>1075+1890</f>
        <v>2965</v>
      </c>
      <c r="E2" s="1">
        <f>D2*AA2</f>
        <v>4.445277361319341</v>
      </c>
      <c r="F2" s="1">
        <v>4000</v>
      </c>
      <c r="G2" s="1">
        <f>F2*AA2</f>
        <v>5.997001499250374</v>
      </c>
      <c r="I2" s="1">
        <f>H2*AA2</f>
        <v>0</v>
      </c>
      <c r="J2" s="1">
        <f>1600+2260</f>
        <v>3860</v>
      </c>
      <c r="K2" s="1">
        <f>J2*AA2</f>
        <v>5.787106446776612</v>
      </c>
      <c r="L2" s="1">
        <v>10000</v>
      </c>
      <c r="M2" s="1">
        <f>L2*AA2</f>
        <v>14.992503748125937</v>
      </c>
      <c r="O2" s="1">
        <f>N2*AA2</f>
        <v>0</v>
      </c>
      <c r="R2" s="1" t="s">
        <v>26</v>
      </c>
      <c r="Y2" s="1" t="s">
        <v>362</v>
      </c>
      <c r="Z2" s="1">
        <f>B2+D2+F2+H2+J2+L2+N2</f>
        <v>20825</v>
      </c>
      <c r="AA2" s="1">
        <f>1/667</f>
        <v>0.0014992503748125937</v>
      </c>
      <c r="AB2" s="2">
        <f>Z2*AA2</f>
        <v>31.221889055472264</v>
      </c>
      <c r="AD2" s="1">
        <v>7</v>
      </c>
      <c r="AF2" s="1" t="s">
        <v>28</v>
      </c>
      <c r="AG2" s="1">
        <f>SUM(AB2:AB994)</f>
        <v>1157.4695695009636</v>
      </c>
      <c r="AI2" s="1" t="s">
        <v>29</v>
      </c>
      <c r="AJ2" s="6">
        <f>AG2/AG5</f>
        <v>37.337728048418185</v>
      </c>
      <c r="AL2" s="1" t="s">
        <v>93</v>
      </c>
      <c r="AM2" s="1">
        <f>COUNTBLANK(L2:L40)-COUNTBLANK(A2:A40)</f>
        <v>1</v>
      </c>
      <c r="AN2" s="7"/>
      <c r="AO2" s="7" t="s">
        <v>347</v>
      </c>
      <c r="AP2" s="7">
        <f>SUMIF(AD2:AD44,"=7",AB2:AB44)</f>
        <v>1157.4695695009636</v>
      </c>
      <c r="AQ2" s="7"/>
      <c r="AR2" s="7"/>
      <c r="AS2" s="7"/>
    </row>
    <row r="3" spans="1:45" ht="12.75">
      <c r="A3" s="5">
        <v>42706</v>
      </c>
      <c r="C3" s="1">
        <f>B3*AA3</f>
        <v>0</v>
      </c>
      <c r="D3" s="1">
        <f>4650+2000</f>
        <v>6650</v>
      </c>
      <c r="E3" s="1">
        <f>D3*AA3</f>
        <v>9.970014992503748</v>
      </c>
      <c r="F3" s="1">
        <f>5250+3600</f>
        <v>8850</v>
      </c>
      <c r="G3" s="1">
        <f>F3*AA3</f>
        <v>13.268365817091453</v>
      </c>
      <c r="H3" s="1">
        <v>6000</v>
      </c>
      <c r="I3" s="1">
        <f>H3*AA3</f>
        <v>8.995502248875562</v>
      </c>
      <c r="K3" s="1">
        <f>J3*AA3</f>
        <v>0</v>
      </c>
      <c r="L3" s="1">
        <v>10000</v>
      </c>
      <c r="M3" s="1">
        <f>L3*AA3</f>
        <v>14.992503748125937</v>
      </c>
      <c r="O3" s="1">
        <f>N3*AA3</f>
        <v>0</v>
      </c>
      <c r="R3" s="1" t="s">
        <v>26</v>
      </c>
      <c r="Y3" s="1" t="s">
        <v>362</v>
      </c>
      <c r="Z3" s="1">
        <f>B3+D3+F3+H3+J3+L3+N3</f>
        <v>31500</v>
      </c>
      <c r="AA3" s="1">
        <f>1/667</f>
        <v>0.0014992503748125937</v>
      </c>
      <c r="AB3" s="2">
        <f>Z3*AA3</f>
        <v>47.2263868065967</v>
      </c>
      <c r="AD3" s="1">
        <v>7</v>
      </c>
      <c r="AF3" s="8"/>
      <c r="AI3" s="8"/>
      <c r="AJ3" s="9"/>
      <c r="AL3" s="1" t="s">
        <v>95</v>
      </c>
      <c r="AM3" s="1">
        <f>COUNT(L2:L36)</f>
        <v>30</v>
      </c>
      <c r="AO3" s="7" t="s">
        <v>348</v>
      </c>
      <c r="AP3" s="7">
        <f>_xlfn.COUNTIFS(A2:A44,"&lt;&gt;''",AD2:AD44,"=7")</f>
        <v>31</v>
      </c>
      <c r="AQ3" s="7"/>
      <c r="AR3" s="7"/>
      <c r="AS3" s="7"/>
    </row>
    <row r="4" spans="1:45" ht="12.75">
      <c r="A4" s="5">
        <v>42707</v>
      </c>
      <c r="C4" s="1">
        <f>B4*AA4</f>
        <v>0</v>
      </c>
      <c r="E4" s="1">
        <f>D4*AA4</f>
        <v>0</v>
      </c>
      <c r="F4" s="1">
        <f>9000+4000</f>
        <v>13000</v>
      </c>
      <c r="G4" s="1">
        <f>F4*AA4</f>
        <v>19.490254872563717</v>
      </c>
      <c r="H4" s="1">
        <v>600</v>
      </c>
      <c r="I4" s="1">
        <f>H4*AA4</f>
        <v>0.8995502248875562</v>
      </c>
      <c r="J4" s="1">
        <f>1200+1000+130+600+300+10*550+600*2</f>
        <v>9930</v>
      </c>
      <c r="K4" s="1">
        <f>J4*AA4</f>
        <v>14.887556221889055</v>
      </c>
      <c r="L4" s="1">
        <v>10000</v>
      </c>
      <c r="M4" s="1">
        <f>L4*AA4</f>
        <v>14.992503748125937</v>
      </c>
      <c r="O4" s="1">
        <f>N4*AA4</f>
        <v>0</v>
      </c>
      <c r="R4" s="1" t="s">
        <v>26</v>
      </c>
      <c r="Y4" s="1" t="s">
        <v>362</v>
      </c>
      <c r="Z4" s="1">
        <f>B4+D4+F4+H4+J4+L4+N4</f>
        <v>33530</v>
      </c>
      <c r="AA4" s="1">
        <f>1/667</f>
        <v>0.0014992503748125937</v>
      </c>
      <c r="AB4" s="2">
        <f>Z4*AA4</f>
        <v>50.26986506746626</v>
      </c>
      <c r="AD4" s="1">
        <v>7</v>
      </c>
      <c r="AL4" s="1" t="s">
        <v>218</v>
      </c>
      <c r="AM4" s="1">
        <f>COUNTA(U2:U49)</f>
        <v>0</v>
      </c>
      <c r="AO4" s="7" t="s">
        <v>349</v>
      </c>
      <c r="AP4" s="7">
        <f>AP2/AP3</f>
        <v>37.337728048418185</v>
      </c>
      <c r="AQ4" s="7"/>
      <c r="AR4" s="7"/>
      <c r="AS4" s="7"/>
    </row>
    <row r="5" spans="1:39" ht="12.75">
      <c r="A5" s="5">
        <v>42708</v>
      </c>
      <c r="C5" s="1">
        <f>B5*AA5</f>
        <v>0</v>
      </c>
      <c r="E5" s="1">
        <f>D5*AA5</f>
        <v>0</v>
      </c>
      <c r="F5" s="1">
        <f>9200+3000+9000</f>
        <v>21200</v>
      </c>
      <c r="G5" s="1">
        <f>F5*AA5</f>
        <v>16.657142857142855</v>
      </c>
      <c r="I5" s="1">
        <f>H5*AA5</f>
        <v>0</v>
      </c>
      <c r="K5" s="1">
        <f>J5*AA5</f>
        <v>0</v>
      </c>
      <c r="L5" s="1">
        <v>10000</v>
      </c>
      <c r="M5" s="1">
        <f>L5*AA5</f>
        <v>7.857142857142857</v>
      </c>
      <c r="O5" s="1">
        <f>N5*AA5</f>
        <v>0</v>
      </c>
      <c r="R5" s="1" t="s">
        <v>26</v>
      </c>
      <c r="Y5" s="1" t="s">
        <v>362</v>
      </c>
      <c r="Z5" s="1">
        <f>B5+D5+F5+H5+J5+L5+N5</f>
        <v>31200</v>
      </c>
      <c r="AA5" s="1">
        <f>3.3/4200</f>
        <v>0.0007857142857142856</v>
      </c>
      <c r="AB5" s="2">
        <f>Z5*AA5</f>
        <v>24.514285714285712</v>
      </c>
      <c r="AD5" s="1">
        <v>7</v>
      </c>
      <c r="AF5" s="1" t="s">
        <v>42</v>
      </c>
      <c r="AG5" s="1">
        <f>COUNTA(A2:A349)</f>
        <v>31</v>
      </c>
      <c r="AL5" s="1" t="s">
        <v>264</v>
      </c>
      <c r="AM5" s="1">
        <f>COUNTA(P2:P49)</f>
        <v>0</v>
      </c>
    </row>
    <row r="6" spans="1:39" ht="12.75">
      <c r="A6" s="5">
        <v>42709</v>
      </c>
      <c r="B6" s="1">
        <f>1000+11600</f>
        <v>12600</v>
      </c>
      <c r="C6" s="1">
        <f>B6*AA6</f>
        <v>9.899999999999999</v>
      </c>
      <c r="D6" s="1">
        <f>3600+1500</f>
        <v>5100</v>
      </c>
      <c r="E6" s="1">
        <f>D6*AA6</f>
        <v>4.007142857142857</v>
      </c>
      <c r="F6" s="1">
        <f>5600+800</f>
        <v>6400</v>
      </c>
      <c r="G6" s="1">
        <f>F6*AA6</f>
        <v>5.0285714285714285</v>
      </c>
      <c r="I6" s="1">
        <f>H6*AA6</f>
        <v>0</v>
      </c>
      <c r="J6" s="1">
        <v>150</v>
      </c>
      <c r="K6" s="1">
        <f>J6*AA6</f>
        <v>0.11785714285714284</v>
      </c>
      <c r="L6"/>
      <c r="M6" s="1">
        <f>L7*AA6</f>
        <v>11.628571428571428</v>
      </c>
      <c r="O6" s="1">
        <f>N6*AA6</f>
        <v>0</v>
      </c>
      <c r="W6" s="1" t="s">
        <v>26</v>
      </c>
      <c r="Y6" s="1" t="s">
        <v>365</v>
      </c>
      <c r="Z6" s="1">
        <f>B6+D6+F6+H6+J6+L7+N6</f>
        <v>39050</v>
      </c>
      <c r="AA6" s="1">
        <f>3.3/4200</f>
        <v>0.0007857142857142856</v>
      </c>
      <c r="AB6" s="2">
        <f>Z6*AA6</f>
        <v>30.682142857142853</v>
      </c>
      <c r="AD6" s="1">
        <v>7</v>
      </c>
      <c r="AF6" s="8"/>
      <c r="AL6" s="1" t="s">
        <v>265</v>
      </c>
      <c r="AM6" s="1">
        <f>COUNTA(R2:R49)</f>
        <v>30</v>
      </c>
    </row>
    <row r="7" spans="1:39" ht="12.75">
      <c r="A7" s="5">
        <v>42710</v>
      </c>
      <c r="B7" s="1">
        <v>1500</v>
      </c>
      <c r="C7" s="1">
        <f>B7*AA7</f>
        <v>1.1785714285714284</v>
      </c>
      <c r="D7" s="1">
        <f>4450+2415+1800</f>
        <v>8665</v>
      </c>
      <c r="E7" s="1">
        <f>D7*AA7</f>
        <v>6.808214285714285</v>
      </c>
      <c r="F7" s="1">
        <v>5400</v>
      </c>
      <c r="G7" s="1">
        <f>F7*AA7</f>
        <v>4.242857142857143</v>
      </c>
      <c r="I7" s="1">
        <f>H7*AA7</f>
        <v>0</v>
      </c>
      <c r="K7" s="1">
        <f>J7*AA7</f>
        <v>0</v>
      </c>
      <c r="L7" s="1">
        <v>14800</v>
      </c>
      <c r="M7" s="1">
        <f>L7*AA7</f>
        <v>11.628571428571428</v>
      </c>
      <c r="O7" s="1">
        <f>N7*AA7</f>
        <v>0</v>
      </c>
      <c r="R7" s="1" t="s">
        <v>26</v>
      </c>
      <c r="Y7" s="1" t="s">
        <v>366</v>
      </c>
      <c r="Z7" s="1">
        <f>B7+D7+F7+H7+J7+L7+N7</f>
        <v>30365</v>
      </c>
      <c r="AA7" s="1">
        <f>3.3/4200</f>
        <v>0.0007857142857142856</v>
      </c>
      <c r="AB7" s="2">
        <f>Z7*AA7</f>
        <v>23.858214285714283</v>
      </c>
      <c r="AD7" s="1">
        <v>7</v>
      </c>
      <c r="AI7" s="1" t="s">
        <v>46</v>
      </c>
      <c r="AL7" s="1" t="s">
        <v>16</v>
      </c>
      <c r="AM7" s="1">
        <f>COUNTA(S2:S49)</f>
        <v>0</v>
      </c>
    </row>
    <row r="8" spans="1:39" ht="12.75">
      <c r="A8" s="5">
        <v>42711</v>
      </c>
      <c r="B8" s="1">
        <f>2000</f>
        <v>2000</v>
      </c>
      <c r="C8" s="1">
        <f>B8*AA8</f>
        <v>1.5714285714285712</v>
      </c>
      <c r="D8" s="1">
        <f>6445+2000</f>
        <v>8445</v>
      </c>
      <c r="E8" s="1">
        <f>D8*AA8</f>
        <v>6.635357142857142</v>
      </c>
      <c r="F8" s="1">
        <v>5600</v>
      </c>
      <c r="G8" s="1">
        <f>F8*AA8</f>
        <v>4.3999999999999995</v>
      </c>
      <c r="H8" s="1">
        <v>2000</v>
      </c>
      <c r="I8" s="1">
        <f>H8*AA8</f>
        <v>1.5714285714285712</v>
      </c>
      <c r="K8" s="1">
        <f>J8*AA8</f>
        <v>0</v>
      </c>
      <c r="L8" s="1">
        <v>14800</v>
      </c>
      <c r="M8" s="1">
        <f>L8*AA8</f>
        <v>11.628571428571428</v>
      </c>
      <c r="O8" s="1">
        <f>N8*AA8</f>
        <v>0</v>
      </c>
      <c r="R8" s="1" t="s">
        <v>26</v>
      </c>
      <c r="Y8" s="1" t="s">
        <v>366</v>
      </c>
      <c r="Z8" s="1">
        <f>B8+D8+F8+H8+J8+L8+N8</f>
        <v>32845</v>
      </c>
      <c r="AA8" s="1">
        <f>3.3/4200</f>
        <v>0.0007857142857142856</v>
      </c>
      <c r="AB8" s="2">
        <f>Z8*AA8</f>
        <v>25.806785714285713</v>
      </c>
      <c r="AD8" s="1">
        <v>7</v>
      </c>
      <c r="AF8" s="1" t="s">
        <v>48</v>
      </c>
      <c r="AG8" s="4">
        <f>SUM(M2:M994)</f>
        <v>258.22036838723494</v>
      </c>
      <c r="AI8" s="1" t="s">
        <v>11</v>
      </c>
      <c r="AJ8" s="4">
        <f>AG8/$AG$5</f>
        <v>8.32968930281403</v>
      </c>
      <c r="AL8" s="1" t="s">
        <v>269</v>
      </c>
      <c r="AM8" s="1">
        <f>COUNTA(Q2:Q49)</f>
        <v>0</v>
      </c>
    </row>
    <row r="9" spans="1:36" ht="12.75">
      <c r="A9" s="5">
        <v>42712</v>
      </c>
      <c r="B9" s="1">
        <f>800+1500+920</f>
        <v>3220</v>
      </c>
      <c r="C9" s="1">
        <f>B9*AA9</f>
        <v>2.53</v>
      </c>
      <c r="D9" s="1">
        <f>4990</f>
        <v>4990</v>
      </c>
      <c r="E9" s="1">
        <f>D9*AA9</f>
        <v>3.9207142857142854</v>
      </c>
      <c r="F9" s="1">
        <f>4000</f>
        <v>4000</v>
      </c>
      <c r="G9" s="1">
        <f>F9*AA9</f>
        <v>3.1428571428571423</v>
      </c>
      <c r="I9" s="1">
        <f>H9*AA9</f>
        <v>0</v>
      </c>
      <c r="K9" s="1">
        <f>J9*AA9</f>
        <v>0</v>
      </c>
      <c r="L9" s="1">
        <v>6000</v>
      </c>
      <c r="M9" s="1">
        <f>L9*AA9</f>
        <v>4.7142857142857135</v>
      </c>
      <c r="O9" s="1">
        <f>N9*AA9</f>
        <v>0</v>
      </c>
      <c r="R9" s="1" t="s">
        <v>26</v>
      </c>
      <c r="Y9" s="1" t="s">
        <v>367</v>
      </c>
      <c r="Z9" s="1">
        <f>B9+D9+F9+H9+J9+L9+N9</f>
        <v>18210</v>
      </c>
      <c r="AA9" s="1">
        <f>3.3/4200</f>
        <v>0.0007857142857142856</v>
      </c>
      <c r="AB9" s="2">
        <f>Z9*AA9</f>
        <v>14.307857142857141</v>
      </c>
      <c r="AD9" s="1">
        <v>7</v>
      </c>
      <c r="AF9" s="1" t="s">
        <v>50</v>
      </c>
      <c r="AG9" s="4">
        <f>SUM(C2:C994)</f>
        <v>60.77185714285714</v>
      </c>
      <c r="AI9" s="1" t="s">
        <v>1</v>
      </c>
      <c r="AJ9" s="1">
        <f>AG9/$AG$5</f>
        <v>1.9603824884792624</v>
      </c>
    </row>
    <row r="10" spans="1:36" ht="12.75">
      <c r="A10" s="5">
        <v>42713</v>
      </c>
      <c r="C10" s="1">
        <f>B10*AA10</f>
        <v>0</v>
      </c>
      <c r="D10" s="1">
        <v>6900</v>
      </c>
      <c r="E10" s="1">
        <f>D10*AA10</f>
        <v>5.421428571428571</v>
      </c>
      <c r="F10" s="1">
        <v>9800</v>
      </c>
      <c r="G10" s="1">
        <f>F10*AA10</f>
        <v>7.699999999999999</v>
      </c>
      <c r="I10" s="1">
        <f>H10*AA10</f>
        <v>0</v>
      </c>
      <c r="K10" s="1">
        <f>J10*AA10</f>
        <v>0</v>
      </c>
      <c r="L10" s="1">
        <v>6000</v>
      </c>
      <c r="M10" s="1">
        <f>L10*AA10</f>
        <v>4.7142857142857135</v>
      </c>
      <c r="O10" s="1">
        <f>N10*AA10</f>
        <v>0</v>
      </c>
      <c r="R10" s="1" t="s">
        <v>26</v>
      </c>
      <c r="Y10" s="1" t="s">
        <v>368</v>
      </c>
      <c r="Z10" s="1">
        <f>B10+D10+F10+H10+J10+L10+N10</f>
        <v>22700</v>
      </c>
      <c r="AA10" s="1">
        <f>3.3/4200</f>
        <v>0.0007857142857142856</v>
      </c>
      <c r="AB10" s="2">
        <f>Z10*AA10</f>
        <v>17.835714285714285</v>
      </c>
      <c r="AD10" s="1">
        <v>7</v>
      </c>
      <c r="AF10" s="1" t="s">
        <v>51</v>
      </c>
      <c r="AG10" s="4">
        <f>SUM(E2:E994)</f>
        <v>309.63486378239446</v>
      </c>
      <c r="AI10" s="1" t="s">
        <v>52</v>
      </c>
      <c r="AJ10" s="1">
        <f>AG10/$AG$5</f>
        <v>9.988221412335305</v>
      </c>
    </row>
    <row r="11" spans="1:36" ht="12.75">
      <c r="A11" s="5">
        <v>42714</v>
      </c>
      <c r="B11" s="1">
        <f>1200+4000+600</f>
        <v>5800</v>
      </c>
      <c r="C11" s="1">
        <f>B11*AA11</f>
        <v>4.557142857142857</v>
      </c>
      <c r="D11" s="1">
        <v>1000</v>
      </c>
      <c r="E11" s="1">
        <f>D11*AA11</f>
        <v>0.7857142857142856</v>
      </c>
      <c r="F11" s="1">
        <f>3600+14000</f>
        <v>17600</v>
      </c>
      <c r="G11" s="1">
        <f>F11*AA11</f>
        <v>13.828571428571427</v>
      </c>
      <c r="I11" s="1">
        <f>H11*AA11</f>
        <v>0</v>
      </c>
      <c r="K11" s="1">
        <f>J11*AA11</f>
        <v>0</v>
      </c>
      <c r="L11" s="1">
        <v>5000</v>
      </c>
      <c r="M11" s="1">
        <f>L11*AA11</f>
        <v>3.9285714285714284</v>
      </c>
      <c r="O11" s="1">
        <f>N11*AA11</f>
        <v>0</v>
      </c>
      <c r="R11" s="1" t="s">
        <v>26</v>
      </c>
      <c r="Y11" s="1" t="s">
        <v>369</v>
      </c>
      <c r="Z11" s="1">
        <f>B11+D11+F11+H11+J11+L11+N11</f>
        <v>29400</v>
      </c>
      <c r="AA11" s="1">
        <f>3.3/4200</f>
        <v>0.0007857142857142856</v>
      </c>
      <c r="AB11" s="2">
        <f>Z11*AA11</f>
        <v>23.099999999999998</v>
      </c>
      <c r="AD11" s="1">
        <v>7</v>
      </c>
      <c r="AF11" s="1" t="s">
        <v>54</v>
      </c>
      <c r="AG11" s="4">
        <f>SUM(G2:G994)</f>
        <v>369.53347933176263</v>
      </c>
      <c r="AI11" s="1" t="s">
        <v>55</v>
      </c>
      <c r="AJ11" s="4">
        <f>AG11/$AG$5</f>
        <v>11.920434817153634</v>
      </c>
    </row>
    <row r="12" spans="1:36" ht="12.75">
      <c r="A12" s="5">
        <v>42715</v>
      </c>
      <c r="C12" s="1">
        <f>B12*AA12</f>
        <v>0</v>
      </c>
      <c r="E12" s="1">
        <f>D12*AA12</f>
        <v>0</v>
      </c>
      <c r="F12" s="1">
        <f>5900+12000</f>
        <v>17900</v>
      </c>
      <c r="G12" s="1">
        <f>F12*AA12</f>
        <v>14.064285714285713</v>
      </c>
      <c r="I12" s="1">
        <f>H12*AA12</f>
        <v>0</v>
      </c>
      <c r="J12" s="1">
        <f>3000+4800+9000+3500+3500+700+2000</f>
        <v>26500</v>
      </c>
      <c r="K12" s="1">
        <f>J12*AA12</f>
        <v>20.82142857142857</v>
      </c>
      <c r="L12" s="1">
        <v>5000</v>
      </c>
      <c r="M12" s="1">
        <f>L12*AA12</f>
        <v>3.9285714285714284</v>
      </c>
      <c r="O12" s="1">
        <f>N12*AA12</f>
        <v>0</v>
      </c>
      <c r="R12" s="1" t="s">
        <v>26</v>
      </c>
      <c r="Y12" s="1" t="s">
        <v>370</v>
      </c>
      <c r="Z12" s="1">
        <f>B12+D12+F12+H12+J12+L12+N12</f>
        <v>49400</v>
      </c>
      <c r="AA12" s="1">
        <f>3.3/4200</f>
        <v>0.0007857142857142856</v>
      </c>
      <c r="AB12" s="2">
        <f>Z12*AA12</f>
        <v>38.81428571428571</v>
      </c>
      <c r="AD12" s="1">
        <v>7</v>
      </c>
      <c r="AF12" s="1" t="s">
        <v>57</v>
      </c>
      <c r="AG12" s="4">
        <f>SUM(K2:K994)</f>
        <v>77.12823409723708</v>
      </c>
      <c r="AI12" s="1" t="s">
        <v>9</v>
      </c>
      <c r="AJ12" s="4">
        <f>AG12/$AG$5</f>
        <v>2.488007551523777</v>
      </c>
    </row>
    <row r="13" spans="1:36" ht="12.75">
      <c r="A13" s="5">
        <v>42716</v>
      </c>
      <c r="B13"/>
      <c r="C13" s="1">
        <f>D13*AA13</f>
        <v>19.564285714285713</v>
      </c>
      <c r="D13" s="1">
        <f>2000+5100+2500+6000+1000</f>
        <v>16600</v>
      </c>
      <c r="E13" s="1">
        <f>D13*AA13</f>
        <v>19.564285714285713</v>
      </c>
      <c r="F13" s="1">
        <f>3300+10500</f>
        <v>13800</v>
      </c>
      <c r="G13" s="1">
        <f>F13*AA13</f>
        <v>16.264285714285712</v>
      </c>
      <c r="I13" s="1">
        <f>H13*AA13</f>
        <v>0</v>
      </c>
      <c r="K13" s="1">
        <f>J13*AA13</f>
        <v>0</v>
      </c>
      <c r="L13" s="1">
        <v>5000</v>
      </c>
      <c r="M13" s="1">
        <f>L13*AA13</f>
        <v>5.892857142857143</v>
      </c>
      <c r="O13" s="1">
        <f>N13*AA13</f>
        <v>0</v>
      </c>
      <c r="R13" s="1" t="s">
        <v>26</v>
      </c>
      <c r="Y13" s="1" t="s">
        <v>370</v>
      </c>
      <c r="Z13" s="1">
        <f>D13+D13+F13+H13+J13+L13+N13</f>
        <v>52000</v>
      </c>
      <c r="AA13" s="1">
        <f>3.3/2800</f>
        <v>0.0011785714285714286</v>
      </c>
      <c r="AB13" s="2">
        <f>Z13*AA13</f>
        <v>61.285714285714285</v>
      </c>
      <c r="AD13" s="1">
        <v>7</v>
      </c>
      <c r="AF13" s="1" t="s">
        <v>58</v>
      </c>
      <c r="AG13" s="1">
        <f>SUM(I2:I994)</f>
        <v>82.18076675947741</v>
      </c>
      <c r="AI13" s="1" t="s">
        <v>7</v>
      </c>
      <c r="AJ13" s="4">
        <f>AG13/$AG$5</f>
        <v>2.6509924761121746</v>
      </c>
    </row>
    <row r="14" spans="1:30" ht="12.75">
      <c r="A14" s="5">
        <v>42717</v>
      </c>
      <c r="C14" s="1">
        <f>B14*AA14</f>
        <v>0</v>
      </c>
      <c r="E14" s="1">
        <f>D14*AA14</f>
        <v>0</v>
      </c>
      <c r="F14" s="1">
        <f>3000</f>
        <v>3000</v>
      </c>
      <c r="G14" s="1">
        <f>F14*AA14</f>
        <v>3.5357142857142856</v>
      </c>
      <c r="H14" s="1">
        <v>10000</v>
      </c>
      <c r="I14" s="1">
        <f>H14*AA14</f>
        <v>11.785714285714286</v>
      </c>
      <c r="K14" s="1">
        <f>J14*AA14</f>
        <v>0</v>
      </c>
      <c r="L14" s="1">
        <v>5000</v>
      </c>
      <c r="M14" s="1">
        <f>L14*AA14</f>
        <v>5.892857142857143</v>
      </c>
      <c r="O14" s="1">
        <f>N14*AA14</f>
        <v>0</v>
      </c>
      <c r="R14" s="1" t="s">
        <v>26</v>
      </c>
      <c r="Y14" s="1" t="s">
        <v>370</v>
      </c>
      <c r="Z14" s="1">
        <f>B14+D14+F14+H14+J14+L14+N14</f>
        <v>18000</v>
      </c>
      <c r="AA14" s="1">
        <f>3.3/2800</f>
        <v>0.0011785714285714286</v>
      </c>
      <c r="AB14" s="2">
        <f>Z14*AA14</f>
        <v>21.214285714285715</v>
      </c>
      <c r="AD14" s="1">
        <v>7</v>
      </c>
    </row>
    <row r="15" spans="1:33" ht="12.75">
      <c r="A15" s="5">
        <v>42718</v>
      </c>
      <c r="C15" s="1">
        <f>B15*AA15</f>
        <v>0</v>
      </c>
      <c r="D15" s="1">
        <f>7500</f>
        <v>7500</v>
      </c>
      <c r="E15" s="1">
        <f>D15*AA15</f>
        <v>8.839285714285714</v>
      </c>
      <c r="G15" s="1">
        <f>F15*AA15</f>
        <v>0</v>
      </c>
      <c r="I15" s="1">
        <f>H15*AA15</f>
        <v>0</v>
      </c>
      <c r="K15" s="1">
        <f>J15*AA15</f>
        <v>0</v>
      </c>
      <c r="L15" s="1">
        <v>5000</v>
      </c>
      <c r="M15" s="1">
        <f>L15*AA15</f>
        <v>5.892857142857143</v>
      </c>
      <c r="O15" s="1">
        <f>N15*AA15</f>
        <v>0</v>
      </c>
      <c r="R15" s="1" t="s">
        <v>26</v>
      </c>
      <c r="Y15" s="1" t="s">
        <v>370</v>
      </c>
      <c r="Z15" s="1">
        <f>B15+D15+F15+H15+J15+L15+N15</f>
        <v>12500</v>
      </c>
      <c r="AA15" s="1">
        <f>3.3/2800</f>
        <v>0.0011785714285714286</v>
      </c>
      <c r="AB15" s="2">
        <f>Z15*AA15</f>
        <v>14.732142857142858</v>
      </c>
      <c r="AD15" s="1">
        <v>7</v>
      </c>
      <c r="AF15" s="8"/>
      <c r="AG15" s="8"/>
    </row>
    <row r="16" spans="1:32" ht="12.75">
      <c r="A16" s="5">
        <v>42719</v>
      </c>
      <c r="C16" s="1">
        <f>B16*AA16</f>
        <v>0</v>
      </c>
      <c r="E16" s="1">
        <f>D16*AA16</f>
        <v>0</v>
      </c>
      <c r="G16" s="1">
        <f>F16*AA16</f>
        <v>0</v>
      </c>
      <c r="I16" s="1">
        <f>H16*AA16</f>
        <v>0</v>
      </c>
      <c r="K16" s="1">
        <f>J16*AA16</f>
        <v>0</v>
      </c>
      <c r="L16" s="1">
        <v>5000</v>
      </c>
      <c r="M16" s="1">
        <f>L16*AA16</f>
        <v>5.892857142857143</v>
      </c>
      <c r="O16" s="1">
        <f>N16*AA16</f>
        <v>0</v>
      </c>
      <c r="R16" s="1" t="s">
        <v>26</v>
      </c>
      <c r="Y16" s="1" t="s">
        <v>370</v>
      </c>
      <c r="Z16" s="1">
        <f>B16+D16+F16+H16+J16+L16+N16</f>
        <v>5000</v>
      </c>
      <c r="AA16" s="1">
        <f>3.3/2800</f>
        <v>0.0011785714285714286</v>
      </c>
      <c r="AB16" s="2">
        <f>Z16*AA16</f>
        <v>5.892857142857143</v>
      </c>
      <c r="AD16" s="1">
        <v>7</v>
      </c>
      <c r="AF16" s="8"/>
    </row>
    <row r="17" spans="1:30" ht="12.75">
      <c r="A17" s="5">
        <v>42720</v>
      </c>
      <c r="C17" s="1">
        <f>B17*AA17</f>
        <v>0</v>
      </c>
      <c r="D17" s="1">
        <f>4350+2000</f>
        <v>6350</v>
      </c>
      <c r="E17" s="1">
        <f>D17*AA17</f>
        <v>7.483928571428572</v>
      </c>
      <c r="F17" s="1">
        <v>10600</v>
      </c>
      <c r="G17" s="1">
        <f>F17*AA17</f>
        <v>12.492857142857142</v>
      </c>
      <c r="H17" s="1">
        <v>15000</v>
      </c>
      <c r="I17" s="1">
        <f>H17*AA17</f>
        <v>17.678571428571427</v>
      </c>
      <c r="K17" s="1">
        <f>J17*AA17</f>
        <v>0</v>
      </c>
      <c r="L17" s="1">
        <v>5000</v>
      </c>
      <c r="M17" s="1">
        <f>L17*AA17</f>
        <v>5.892857142857143</v>
      </c>
      <c r="O17" s="1">
        <f>N17*AA17</f>
        <v>0</v>
      </c>
      <c r="R17" s="1" t="s">
        <v>26</v>
      </c>
      <c r="Y17" s="1" t="s">
        <v>370</v>
      </c>
      <c r="Z17" s="1">
        <f>B17+D17+F17+H17+J17+L17+N17</f>
        <v>36950</v>
      </c>
      <c r="AA17" s="1">
        <f>3.3/2800</f>
        <v>0.0011785714285714286</v>
      </c>
      <c r="AB17" s="2">
        <f>Z17*AA17</f>
        <v>43.54821428571429</v>
      </c>
      <c r="AD17" s="1">
        <v>7</v>
      </c>
    </row>
    <row r="18" spans="1:30" ht="12.75">
      <c r="A18" s="5">
        <v>42721</v>
      </c>
      <c r="C18" s="1">
        <f>B18*AA18</f>
        <v>0</v>
      </c>
      <c r="D18" s="1">
        <f>(450*6)+4000</f>
        <v>6700</v>
      </c>
      <c r="E18" s="1">
        <f>D18*AA18</f>
        <v>7.896428571428571</v>
      </c>
      <c r="G18" s="1">
        <f>F18*AA18</f>
        <v>0</v>
      </c>
      <c r="I18" s="1">
        <f>H18*AA18</f>
        <v>0</v>
      </c>
      <c r="J18" s="1">
        <v>15600</v>
      </c>
      <c r="K18" s="1">
        <f>J18*AA18</f>
        <v>18.385714285714286</v>
      </c>
      <c r="L18" s="1">
        <v>5000</v>
      </c>
      <c r="M18" s="1">
        <f>L18*AA18</f>
        <v>5.892857142857143</v>
      </c>
      <c r="O18" s="1">
        <f>N18*AA18</f>
        <v>0</v>
      </c>
      <c r="R18" s="1" t="s">
        <v>26</v>
      </c>
      <c r="Y18" s="1" t="s">
        <v>370</v>
      </c>
      <c r="Z18" s="1">
        <f>B18+D18+F18+H18+J18+L18+N18</f>
        <v>27300</v>
      </c>
      <c r="AA18" s="1">
        <f>3.3/2800</f>
        <v>0.0011785714285714286</v>
      </c>
      <c r="AB18" s="2">
        <f>Z18*AA18</f>
        <v>32.175</v>
      </c>
      <c r="AD18" s="1">
        <v>7</v>
      </c>
    </row>
    <row r="19" spans="1:30" ht="12.75">
      <c r="A19" s="5">
        <v>42722</v>
      </c>
      <c r="C19" s="1">
        <f>B19*AA19</f>
        <v>0</v>
      </c>
      <c r="D19" s="1">
        <f>4550+4350</f>
        <v>8900</v>
      </c>
      <c r="E19" s="1">
        <f>D19*AA19</f>
        <v>10.489285714285714</v>
      </c>
      <c r="F19" s="1">
        <f>3000+11000</f>
        <v>14000</v>
      </c>
      <c r="G19" s="1">
        <f>F19*AA19</f>
        <v>16.5</v>
      </c>
      <c r="H19" s="1">
        <v>35000</v>
      </c>
      <c r="I19" s="1">
        <f>H19*AA19</f>
        <v>41.25</v>
      </c>
      <c r="J19" s="1">
        <v>6000</v>
      </c>
      <c r="K19" s="1">
        <f>J19*AA19</f>
        <v>7.071428571428571</v>
      </c>
      <c r="L19" s="1">
        <v>5000</v>
      </c>
      <c r="M19" s="1">
        <f>L19*AA19</f>
        <v>5.892857142857143</v>
      </c>
      <c r="O19" s="1">
        <f>N19*AA19</f>
        <v>0</v>
      </c>
      <c r="R19" s="1" t="s">
        <v>26</v>
      </c>
      <c r="Y19" s="1" t="s">
        <v>370</v>
      </c>
      <c r="Z19" s="1">
        <f>B19+D19+F19+H19+J19+L19+N19</f>
        <v>68900</v>
      </c>
      <c r="AA19" s="1">
        <f>3.3/2800</f>
        <v>0.0011785714285714286</v>
      </c>
      <c r="AB19" s="2">
        <f>Z19*AA19</f>
        <v>81.20357142857142</v>
      </c>
      <c r="AD19" s="1">
        <v>7</v>
      </c>
    </row>
    <row r="20" spans="1:30" ht="12.75">
      <c r="A20" s="5">
        <v>42723</v>
      </c>
      <c r="C20" s="1">
        <f>B20*AA20</f>
        <v>0</v>
      </c>
      <c r="D20" s="1">
        <f>7350</f>
        <v>7350</v>
      </c>
      <c r="E20" s="1">
        <f>D20*AA20</f>
        <v>8.6625</v>
      </c>
      <c r="F20" s="1">
        <v>12500</v>
      </c>
      <c r="G20" s="1">
        <f>F20*AA20</f>
        <v>14.732142857142858</v>
      </c>
      <c r="I20" s="1">
        <f>H20*AA20</f>
        <v>0</v>
      </c>
      <c r="K20" s="1">
        <f>J20*AA20</f>
        <v>0</v>
      </c>
      <c r="L20" s="1">
        <v>5000</v>
      </c>
      <c r="M20" s="1">
        <f>L20*AA20</f>
        <v>5.892857142857143</v>
      </c>
      <c r="O20" s="1">
        <f>N20*AA20</f>
        <v>0</v>
      </c>
      <c r="R20" s="1" t="s">
        <v>26</v>
      </c>
      <c r="Y20" s="1" t="s">
        <v>370</v>
      </c>
      <c r="Z20" s="1">
        <f>B20+D20+F20+H20+J20+L20+N20</f>
        <v>24850</v>
      </c>
      <c r="AA20" s="1">
        <f>3.3/2800</f>
        <v>0.0011785714285714286</v>
      </c>
      <c r="AB20" s="2">
        <f>Z20*AA20</f>
        <v>29.2875</v>
      </c>
      <c r="AD20" s="1">
        <v>7</v>
      </c>
    </row>
    <row r="21" spans="1:30" ht="12.75">
      <c r="A21" s="5">
        <v>42724</v>
      </c>
      <c r="C21" s="1">
        <f>B21*AA21</f>
        <v>0</v>
      </c>
      <c r="D21" s="1">
        <f>3600+3820</f>
        <v>7420</v>
      </c>
      <c r="E21" s="1">
        <f>D21*AA21</f>
        <v>8.745</v>
      </c>
      <c r="F21" s="1">
        <v>7000</v>
      </c>
      <c r="G21" s="1">
        <f>F21*AA21</f>
        <v>8.25</v>
      </c>
      <c r="I21" s="1">
        <f>H21*AA21</f>
        <v>0</v>
      </c>
      <c r="K21" s="1">
        <f>J21*AA21</f>
        <v>0</v>
      </c>
      <c r="L21" s="1">
        <v>5000</v>
      </c>
      <c r="M21" s="1">
        <f>L21*AA21</f>
        <v>5.892857142857143</v>
      </c>
      <c r="O21" s="1">
        <f>N21*AA21</f>
        <v>0</v>
      </c>
      <c r="R21" s="1" t="s">
        <v>26</v>
      </c>
      <c r="Y21" s="1" t="s">
        <v>370</v>
      </c>
      <c r="Z21" s="1">
        <f>B21+D21+F21+H21+J21+L21+N21</f>
        <v>19420</v>
      </c>
      <c r="AA21" s="1">
        <f>3.3/2800</f>
        <v>0.0011785714285714286</v>
      </c>
      <c r="AB21" s="2">
        <f>Z21*AA21</f>
        <v>22.887857142857143</v>
      </c>
      <c r="AD21" s="1">
        <v>7</v>
      </c>
    </row>
    <row r="22" spans="1:30" ht="12.75">
      <c r="A22" s="5">
        <v>42725</v>
      </c>
      <c r="C22" s="1">
        <f>B22*AA22</f>
        <v>0</v>
      </c>
      <c r="D22" s="1">
        <f>5700</f>
        <v>5700</v>
      </c>
      <c r="E22" s="1">
        <f>D22*AA22</f>
        <v>6.7178571428571425</v>
      </c>
      <c r="F22" s="1">
        <v>7000</v>
      </c>
      <c r="G22" s="1">
        <f>F22*AA22</f>
        <v>8.25</v>
      </c>
      <c r="I22" s="1">
        <f>H22*AA22</f>
        <v>0</v>
      </c>
      <c r="K22" s="1">
        <f>J22*AA22</f>
        <v>0</v>
      </c>
      <c r="L22" s="1">
        <v>5000</v>
      </c>
      <c r="M22" s="1">
        <f>L22*AA22</f>
        <v>5.892857142857143</v>
      </c>
      <c r="O22" s="1">
        <f>N22*AA22</f>
        <v>0</v>
      </c>
      <c r="R22" s="1" t="s">
        <v>26</v>
      </c>
      <c r="Y22" s="1" t="s">
        <v>370</v>
      </c>
      <c r="Z22" s="1">
        <f>B22+D22+F22+H22+J22+L22+N22</f>
        <v>17700</v>
      </c>
      <c r="AA22" s="1">
        <f>3.3/2800</f>
        <v>0.0011785714285714286</v>
      </c>
      <c r="AB22" s="2">
        <f>Z22*AA22</f>
        <v>20.860714285714284</v>
      </c>
      <c r="AD22" s="1">
        <v>7</v>
      </c>
    </row>
    <row r="23" spans="1:30" ht="12.75">
      <c r="A23" s="5">
        <v>42726</v>
      </c>
      <c r="B23" s="1">
        <f>(1500+2000)*2+500</f>
        <v>7500</v>
      </c>
      <c r="C23" s="1">
        <f>B23*AA23</f>
        <v>11.785714285714285</v>
      </c>
      <c r="D23" s="1">
        <f>2000+1000+7678</f>
        <v>10678</v>
      </c>
      <c r="E23" s="1">
        <f>D23*AA23</f>
        <v>16.779714285714284</v>
      </c>
      <c r="F23" s="1">
        <v>2700</v>
      </c>
      <c r="G23" s="1">
        <f>F23*AA23</f>
        <v>4.242857142857143</v>
      </c>
      <c r="I23" s="1">
        <f>H23*AA23</f>
        <v>0</v>
      </c>
      <c r="K23" s="1">
        <f>J23*AA23</f>
        <v>0</v>
      </c>
      <c r="L23" s="1">
        <v>5000</v>
      </c>
      <c r="M23" s="1">
        <f>L23*AA23</f>
        <v>7.857142857142857</v>
      </c>
      <c r="O23" s="1">
        <f>N23*AA23</f>
        <v>0</v>
      </c>
      <c r="R23" s="1" t="s">
        <v>26</v>
      </c>
      <c r="Y23" s="1" t="s">
        <v>371</v>
      </c>
      <c r="Z23" s="1">
        <f>B23+D23+F23+H23+J23+L23+N23</f>
        <v>25878</v>
      </c>
      <c r="AA23" s="1">
        <f>3.3/2100</f>
        <v>0.0015714285714285713</v>
      </c>
      <c r="AB23" s="2">
        <f>Z23*AA23</f>
        <v>40.66542857142857</v>
      </c>
      <c r="AD23" s="1">
        <v>7</v>
      </c>
    </row>
    <row r="24" spans="1:30" ht="12.75">
      <c r="A24" s="5">
        <v>42727</v>
      </c>
      <c r="B24" s="1">
        <f>8</f>
        <v>8</v>
      </c>
      <c r="C24" s="1">
        <f>B24*AA24</f>
        <v>0.01257142857142857</v>
      </c>
      <c r="D24" s="1">
        <f>19089+2000+1800+1900+800+400</f>
        <v>25989</v>
      </c>
      <c r="E24" s="1">
        <f>D24*AA24</f>
        <v>40.83985714285714</v>
      </c>
      <c r="F24" s="1">
        <v>10500</v>
      </c>
      <c r="G24" s="1">
        <f>F24*AA24</f>
        <v>16.5</v>
      </c>
      <c r="I24" s="1">
        <f>H24*AA24</f>
        <v>0</v>
      </c>
      <c r="K24" s="1">
        <f>J24*AA24</f>
        <v>0</v>
      </c>
      <c r="L24" s="1">
        <v>5000</v>
      </c>
      <c r="M24" s="1">
        <f>L24*AA24</f>
        <v>7.857142857142857</v>
      </c>
      <c r="O24" s="1">
        <f>N24*AA24</f>
        <v>0</v>
      </c>
      <c r="R24" s="1" t="s">
        <v>26</v>
      </c>
      <c r="Y24" s="1" t="s">
        <v>372</v>
      </c>
      <c r="Z24" s="1">
        <f>B24+D24+F24+H24+J24+L24+N24</f>
        <v>41497</v>
      </c>
      <c r="AA24" s="1">
        <f>3.3/2100</f>
        <v>0.0015714285714285713</v>
      </c>
      <c r="AB24" s="2">
        <f>Z24*AA24</f>
        <v>65.20957142857142</v>
      </c>
      <c r="AD24" s="1">
        <v>7</v>
      </c>
    </row>
    <row r="25" spans="1:30" ht="12.75">
      <c r="A25" s="5">
        <v>42728</v>
      </c>
      <c r="B25" s="1">
        <f>30+20</f>
        <v>50</v>
      </c>
      <c r="C25" s="1">
        <f>B25*AA25</f>
        <v>0.07857142857142857</v>
      </c>
      <c r="D25" s="1">
        <f>18000+4800+1600+800</f>
        <v>25200</v>
      </c>
      <c r="E25" s="1">
        <f>D25*AA25</f>
        <v>39.599999999999994</v>
      </c>
      <c r="F25" s="1">
        <f>5400+2000</f>
        <v>7400</v>
      </c>
      <c r="G25" s="1">
        <f>F25*AA25</f>
        <v>11.628571428571428</v>
      </c>
      <c r="I25" s="1">
        <f>H25*AA25</f>
        <v>0</v>
      </c>
      <c r="K25" s="1">
        <f>J25*AA25</f>
        <v>0</v>
      </c>
      <c r="L25" s="1">
        <v>5000</v>
      </c>
      <c r="M25" s="1">
        <f>L25*AA25</f>
        <v>7.857142857142857</v>
      </c>
      <c r="O25" s="1">
        <f>N25*AA25</f>
        <v>0</v>
      </c>
      <c r="R25" s="1" t="s">
        <v>26</v>
      </c>
      <c r="Y25" s="1" t="s">
        <v>372</v>
      </c>
      <c r="Z25" s="1">
        <f>B25+D25+F25+H25+J25+L25+N25</f>
        <v>37650</v>
      </c>
      <c r="AA25" s="1">
        <f>3.3/2100</f>
        <v>0.0015714285714285713</v>
      </c>
      <c r="AB25" s="2">
        <f>Z25*AA25</f>
        <v>59.16428571428571</v>
      </c>
      <c r="AD25" s="1">
        <v>7</v>
      </c>
    </row>
    <row r="26" spans="1:30" ht="12.75">
      <c r="A26" s="5">
        <v>42729</v>
      </c>
      <c r="B26" s="1">
        <v>10</v>
      </c>
      <c r="C26" s="1">
        <f>B26*AA26</f>
        <v>0.015714285714285712</v>
      </c>
      <c r="E26" s="1">
        <f>D26*AA26</f>
        <v>0</v>
      </c>
      <c r="F26" s="1">
        <f>15500</f>
        <v>15500</v>
      </c>
      <c r="G26" s="1">
        <f>F26*AA26</f>
        <v>24.357142857142854</v>
      </c>
      <c r="I26" s="1">
        <f>H26*AA26</f>
        <v>0</v>
      </c>
      <c r="K26" s="1">
        <f>J26*AA26</f>
        <v>0</v>
      </c>
      <c r="L26" s="1">
        <v>5000</v>
      </c>
      <c r="M26" s="1">
        <f>L26*AA26</f>
        <v>7.857142857142857</v>
      </c>
      <c r="O26" s="1">
        <f>N26*AA26</f>
        <v>0</v>
      </c>
      <c r="R26" s="1" t="s">
        <v>26</v>
      </c>
      <c r="Y26" s="1" t="s">
        <v>372</v>
      </c>
      <c r="Z26" s="1">
        <f>B26+D26+F26+H26+J26+L26+N26</f>
        <v>20510</v>
      </c>
      <c r="AA26" s="1">
        <f>3.3/2100</f>
        <v>0.0015714285714285713</v>
      </c>
      <c r="AB26" s="2">
        <f>Z26*AA26</f>
        <v>32.23</v>
      </c>
      <c r="AD26" s="1">
        <v>7</v>
      </c>
    </row>
    <row r="27" spans="1:30" ht="12.75">
      <c r="A27" s="5">
        <v>42730</v>
      </c>
      <c r="B27" s="1">
        <f>600+5</f>
        <v>605</v>
      </c>
      <c r="C27" s="1">
        <f>B27*AA27</f>
        <v>0.9507142857142856</v>
      </c>
      <c r="D27" s="1">
        <f>7750+2800+2000</f>
        <v>12550</v>
      </c>
      <c r="E27" s="1">
        <f>D27*AA27</f>
        <v>19.721428571428568</v>
      </c>
      <c r="F27" s="1">
        <f>11400</f>
        <v>11400</v>
      </c>
      <c r="G27" s="1">
        <f>F27*AA27</f>
        <v>17.91428571428571</v>
      </c>
      <c r="I27" s="1">
        <f>H27*AA27</f>
        <v>0</v>
      </c>
      <c r="K27" s="1">
        <f>J27*AA27</f>
        <v>0</v>
      </c>
      <c r="L27" s="1">
        <v>5000</v>
      </c>
      <c r="M27" s="1">
        <f>L27*AA27</f>
        <v>7.857142857142857</v>
      </c>
      <c r="O27" s="1">
        <f>N27*AA27</f>
        <v>0</v>
      </c>
      <c r="R27" s="1" t="s">
        <v>26</v>
      </c>
      <c r="Y27" s="1" t="s">
        <v>372</v>
      </c>
      <c r="Z27" s="1">
        <f>B27+D27+F27+H27+J27+L27+N27</f>
        <v>29555</v>
      </c>
      <c r="AA27" s="1">
        <f>3.3/2100</f>
        <v>0.0015714285714285713</v>
      </c>
      <c r="AB27" s="2">
        <f>Z27*AA27</f>
        <v>46.443571428571424</v>
      </c>
      <c r="AD27" s="1">
        <v>7</v>
      </c>
    </row>
    <row r="28" spans="1:30" ht="12.75">
      <c r="A28" s="5">
        <v>42731</v>
      </c>
      <c r="B28" s="1">
        <v>800</v>
      </c>
      <c r="C28" s="1">
        <f>B28*AA28</f>
        <v>1.2571428571428571</v>
      </c>
      <c r="D28" s="1">
        <f>7600+1000+2000</f>
        <v>10600</v>
      </c>
      <c r="E28" s="1">
        <f>D28*AA28</f>
        <v>16.657142857142855</v>
      </c>
      <c r="F28" s="1">
        <v>10500</v>
      </c>
      <c r="G28" s="1">
        <f>F28*AA28</f>
        <v>16.5</v>
      </c>
      <c r="I28" s="1">
        <f>H28*AA28</f>
        <v>0</v>
      </c>
      <c r="K28" s="1">
        <f>J28*AA28</f>
        <v>0</v>
      </c>
      <c r="L28" s="1">
        <v>5000</v>
      </c>
      <c r="M28" s="1">
        <f>L28*AA28</f>
        <v>7.857142857142857</v>
      </c>
      <c r="O28" s="1">
        <f>N28*AA28</f>
        <v>0</v>
      </c>
      <c r="R28" s="1" t="s">
        <v>26</v>
      </c>
      <c r="Y28" s="1" t="s">
        <v>372</v>
      </c>
      <c r="Z28" s="1">
        <f>B28+D28+F28+H28+J28+L28+N28</f>
        <v>26900</v>
      </c>
      <c r="AA28" s="1">
        <f>3.3/2100</f>
        <v>0.0015714285714285713</v>
      </c>
      <c r="AB28" s="2">
        <f>Z28*AA28</f>
        <v>42.271428571428565</v>
      </c>
      <c r="AD28" s="1">
        <v>7</v>
      </c>
    </row>
    <row r="29" spans="1:30" ht="12.75">
      <c r="A29" s="5">
        <v>42732</v>
      </c>
      <c r="B29" s="1">
        <f>640</f>
        <v>640</v>
      </c>
      <c r="C29" s="1">
        <f>B29*AA29</f>
        <v>1.0057142857142856</v>
      </c>
      <c r="D29" s="1">
        <f>4760+1600+1000+500</f>
        <v>7860</v>
      </c>
      <c r="E29" s="1">
        <f>D29*AA29</f>
        <v>12.35142857142857</v>
      </c>
      <c r="F29" s="1">
        <v>5400</v>
      </c>
      <c r="G29" s="1">
        <f>F29*AA29</f>
        <v>8.485714285714286</v>
      </c>
      <c r="I29" s="1">
        <f>H29*AA29</f>
        <v>0</v>
      </c>
      <c r="K29" s="1">
        <f>J29*AA29</f>
        <v>0</v>
      </c>
      <c r="L29" s="1">
        <v>5000</v>
      </c>
      <c r="M29" s="1">
        <f>L29*AA29</f>
        <v>7.857142857142857</v>
      </c>
      <c r="O29" s="1">
        <f>N29*AA29</f>
        <v>0</v>
      </c>
      <c r="R29" s="1" t="s">
        <v>26</v>
      </c>
      <c r="Y29" s="1" t="s">
        <v>372</v>
      </c>
      <c r="Z29" s="1">
        <f>B29+D29+F29+H29+J29+L29+N29</f>
        <v>18900</v>
      </c>
      <c r="AA29" s="1">
        <f>3.3/2100</f>
        <v>0.0015714285714285713</v>
      </c>
      <c r="AB29" s="2">
        <f>Z29*AA29</f>
        <v>29.699999999999996</v>
      </c>
      <c r="AD29" s="1">
        <v>7</v>
      </c>
    </row>
    <row r="30" spans="1:30" ht="12.75">
      <c r="A30" s="5">
        <v>42733</v>
      </c>
      <c r="B30" s="1">
        <f>200+50</f>
        <v>250</v>
      </c>
      <c r="C30" s="1">
        <f>B30*AA30</f>
        <v>0.3928571428571428</v>
      </c>
      <c r="D30" s="1">
        <f>7000+800+1300+2000</f>
        <v>11100</v>
      </c>
      <c r="E30" s="1">
        <f>D30*AA30</f>
        <v>17.44285714285714</v>
      </c>
      <c r="F30" s="1">
        <v>6500</v>
      </c>
      <c r="G30" s="1">
        <f>F30*AA30</f>
        <v>10.214285714285714</v>
      </c>
      <c r="I30" s="1">
        <f>H30*AA30</f>
        <v>0</v>
      </c>
      <c r="K30" s="1">
        <f>J30*AA30</f>
        <v>0</v>
      </c>
      <c r="L30" s="1">
        <v>5000</v>
      </c>
      <c r="M30" s="1">
        <f>L30*AA30</f>
        <v>7.857142857142857</v>
      </c>
      <c r="O30" s="1">
        <f>N30*AA30</f>
        <v>0</v>
      </c>
      <c r="R30" s="1" t="s">
        <v>26</v>
      </c>
      <c r="Y30" s="1" t="s">
        <v>372</v>
      </c>
      <c r="Z30" s="1">
        <f>B30+D30+F30+H30+J30+L30+N30</f>
        <v>22850</v>
      </c>
      <c r="AA30" s="1">
        <f>3.3/2100</f>
        <v>0.0015714285714285713</v>
      </c>
      <c r="AB30" s="2">
        <f>Z30*AA30</f>
        <v>35.90714285714285</v>
      </c>
      <c r="AD30" s="1">
        <v>7</v>
      </c>
    </row>
    <row r="31" spans="1:30" ht="12.75">
      <c r="A31" s="5">
        <v>42734</v>
      </c>
      <c r="B31" s="1">
        <f>800*2+2000+200</f>
        <v>3800</v>
      </c>
      <c r="C31" s="1">
        <f>B31*AA31</f>
        <v>5.971428571428571</v>
      </c>
      <c r="D31" s="1">
        <f>5200</f>
        <v>5200</v>
      </c>
      <c r="E31" s="1">
        <f>D31*AA31</f>
        <v>8.17142857142857</v>
      </c>
      <c r="F31" s="1">
        <f>21120+6400+1200</f>
        <v>28720</v>
      </c>
      <c r="G31" s="1">
        <f>F31*AA31</f>
        <v>45.131428571428565</v>
      </c>
      <c r="I31" s="1">
        <f>H31*AA31</f>
        <v>0</v>
      </c>
      <c r="K31" s="1">
        <f>J31*AA31</f>
        <v>0</v>
      </c>
      <c r="L31" s="1">
        <v>10000</v>
      </c>
      <c r="M31" s="1">
        <f>L31*AA31</f>
        <v>15.714285714285714</v>
      </c>
      <c r="O31" s="1">
        <f>N31*AA31</f>
        <v>0</v>
      </c>
      <c r="R31" s="1" t="s">
        <v>26</v>
      </c>
      <c r="Y31" s="1" t="s">
        <v>373</v>
      </c>
      <c r="Z31" s="1">
        <f>B31+D31+F31+H31+J31+L31+N31</f>
        <v>47720</v>
      </c>
      <c r="AA31" s="1">
        <f>3.3/2100</f>
        <v>0.0015714285714285713</v>
      </c>
      <c r="AB31" s="2">
        <f>Z31*AA31</f>
        <v>74.98857142857142</v>
      </c>
      <c r="AD31" s="1">
        <v>7</v>
      </c>
    </row>
    <row r="32" spans="1:30" ht="12.75">
      <c r="A32" s="5">
        <v>42735</v>
      </c>
      <c r="C32" s="1">
        <f>B32*AA32</f>
        <v>0</v>
      </c>
      <c r="D32" s="1">
        <f>11250</f>
        <v>11250</v>
      </c>
      <c r="E32" s="1">
        <f>D32*AA32</f>
        <v>17.678571428571427</v>
      </c>
      <c r="F32" s="1">
        <v>17000</v>
      </c>
      <c r="G32" s="1">
        <f>F32*AA32</f>
        <v>26.71428571428571</v>
      </c>
      <c r="I32" s="1">
        <f>H32*AA32</f>
        <v>0</v>
      </c>
      <c r="J32" s="1">
        <f>8*800</f>
        <v>6400</v>
      </c>
      <c r="K32" s="1">
        <f>J32*AA32</f>
        <v>10.057142857142857</v>
      </c>
      <c r="L32" s="1">
        <v>10000</v>
      </c>
      <c r="M32" s="1">
        <f>L32*AA32</f>
        <v>15.714285714285714</v>
      </c>
      <c r="O32" s="1">
        <f>N32*AA32</f>
        <v>0</v>
      </c>
      <c r="R32" s="1" t="s">
        <v>26</v>
      </c>
      <c r="Y32" s="1" t="s">
        <v>374</v>
      </c>
      <c r="Z32" s="1">
        <f>B32+D32+F32+H32+J32+L32+N32</f>
        <v>44650</v>
      </c>
      <c r="AA32" s="1">
        <f>3.3/2100</f>
        <v>0.0015714285714285713</v>
      </c>
      <c r="AB32" s="2">
        <f>Z32*AA32</f>
        <v>70.16428571428571</v>
      </c>
      <c r="AD32" s="1">
        <v>7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f>3.3/2100</f>
        <v>0.0015714285714285713</v>
      </c>
      <c r="AB33" s="2">
        <f>Z33*AA33</f>
        <v>0</v>
      </c>
      <c r="AD33" s="1">
        <v>7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3.3/4200</f>
        <v>0.0007857142857142856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441.25/400000</f>
        <v>0.001103125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6"/>
  <sheetViews>
    <sheetView zoomScale="90" zoomScaleNormal="90" workbookViewId="0" topLeftCell="A10">
      <selection activeCell="A17" sqref="A17"/>
    </sheetView>
  </sheetViews>
  <sheetFormatPr defaultColWidth="12.57421875" defaultRowHeight="12.75"/>
  <cols>
    <col min="1" max="37" width="11.57421875" style="8" customWidth="1"/>
    <col min="38" max="38" width="22.140625" style="8" customWidth="1"/>
    <col min="39" max="16384" width="11.57421875" style="8" customWidth="1"/>
  </cols>
  <sheetData>
    <row r="1" spans="1:30" s="1" customFormat="1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130</v>
      </c>
      <c r="O1" s="1" t="s">
        <v>131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42578</v>
      </c>
      <c r="B2" s="1">
        <f>2.25+2.25+6+6</f>
        <v>16.5</v>
      </c>
      <c r="C2" s="1">
        <f>B2*AA2</f>
        <v>57.75</v>
      </c>
      <c r="D2" s="1">
        <v>4</v>
      </c>
      <c r="E2" s="1">
        <f>D2*AA2</f>
        <v>14</v>
      </c>
      <c r="F2" s="1"/>
      <c r="G2" s="1">
        <f>F2*AA2</f>
        <v>0</v>
      </c>
      <c r="H2" s="1"/>
      <c r="I2" s="1">
        <f>H2*AA2</f>
        <v>0</v>
      </c>
      <c r="J2" s="1"/>
      <c r="K2" s="1">
        <f>J2*AA2</f>
        <v>0</v>
      </c>
      <c r="L2" s="1">
        <v>10</v>
      </c>
      <c r="M2" s="1">
        <f>L2*AA2</f>
        <v>35</v>
      </c>
      <c r="N2" s="1"/>
      <c r="O2" s="1">
        <f>N2*AA2</f>
        <v>0</v>
      </c>
      <c r="P2" s="1"/>
      <c r="Q2" s="1"/>
      <c r="R2" s="1" t="s">
        <v>26</v>
      </c>
      <c r="S2" s="1"/>
      <c r="T2" s="1"/>
      <c r="U2" s="1"/>
      <c r="V2" s="1"/>
      <c r="W2" s="1"/>
      <c r="X2" s="1"/>
      <c r="Y2" s="1" t="s">
        <v>132</v>
      </c>
      <c r="Z2" s="1">
        <f>B2+D2+F2+H2+J2+L2</f>
        <v>30.5</v>
      </c>
      <c r="AA2" s="1">
        <v>3.5</v>
      </c>
      <c r="AB2" s="2">
        <f>Z2*AA2</f>
        <v>106.75</v>
      </c>
      <c r="AC2" s="1"/>
      <c r="AD2" s="1">
        <v>5</v>
      </c>
      <c r="AF2" s="1" t="s">
        <v>28</v>
      </c>
      <c r="AG2" s="1">
        <f>SUM(AB2:AB995)</f>
        <v>2995.0882</v>
      </c>
      <c r="AH2" s="1"/>
      <c r="AI2" s="1" t="s">
        <v>29</v>
      </c>
      <c r="AJ2" s="6">
        <f>AG2/AG5</f>
        <v>55.4645962962963</v>
      </c>
      <c r="AK2" s="1"/>
      <c r="AL2" s="1" t="s">
        <v>93</v>
      </c>
      <c r="AM2" s="1">
        <f>COUNTBLANK(L2:L400)-COUNTBLANK(A2:A400)</f>
        <v>29</v>
      </c>
      <c r="AN2" s="7"/>
      <c r="AO2" s="7"/>
      <c r="AP2" s="7"/>
      <c r="AQ2" s="7"/>
      <c r="AR2" s="7"/>
      <c r="AS2" s="7"/>
    </row>
    <row r="3" spans="1:45" ht="12.75">
      <c r="A3" s="5">
        <v>42579</v>
      </c>
      <c r="B3" s="1"/>
      <c r="C3" s="1">
        <f>B3*AA3</f>
        <v>0</v>
      </c>
      <c r="D3" s="1">
        <f>5+0.8</f>
        <v>5.8</v>
      </c>
      <c r="E3" s="1">
        <f>D3*AA3</f>
        <v>20.3</v>
      </c>
      <c r="F3" s="1">
        <v>3.5</v>
      </c>
      <c r="G3" s="1">
        <f>F3*AA3</f>
        <v>12.25</v>
      </c>
      <c r="H3" s="1"/>
      <c r="I3" s="1">
        <f>H3*AA3</f>
        <v>0</v>
      </c>
      <c r="J3" s="1"/>
      <c r="K3" s="1">
        <f>J3*AA3</f>
        <v>0</v>
      </c>
      <c r="L3" s="1">
        <v>10</v>
      </c>
      <c r="M3" s="1">
        <f>L3*AA3</f>
        <v>35</v>
      </c>
      <c r="N3" s="1"/>
      <c r="O3" s="1">
        <f>N3*AA3</f>
        <v>0</v>
      </c>
      <c r="P3" s="1"/>
      <c r="Q3" s="1"/>
      <c r="R3" s="1" t="s">
        <v>26</v>
      </c>
      <c r="S3" s="1"/>
      <c r="T3" s="1"/>
      <c r="U3" s="1"/>
      <c r="V3" s="1"/>
      <c r="W3" s="1"/>
      <c r="X3" s="1"/>
      <c r="Y3" s="1" t="s">
        <v>133</v>
      </c>
      <c r="Z3" s="1">
        <f>B3+D3+F3+H3+J3+L3</f>
        <v>19.3</v>
      </c>
      <c r="AA3" s="1">
        <v>3.5</v>
      </c>
      <c r="AB3" s="2">
        <f>Z3*AA3</f>
        <v>67.55</v>
      </c>
      <c r="AC3" s="1"/>
      <c r="AD3" s="1">
        <v>5</v>
      </c>
      <c r="AG3" s="1"/>
      <c r="AH3" s="1"/>
      <c r="AJ3" s="9"/>
      <c r="AK3" s="1"/>
      <c r="AL3" s="1" t="s">
        <v>95</v>
      </c>
      <c r="AM3" s="1">
        <f>COUNT(L2:L360)</f>
        <v>25</v>
      </c>
      <c r="AN3" s="1"/>
      <c r="AO3" s="7"/>
      <c r="AP3" s="7"/>
      <c r="AQ3" s="7"/>
      <c r="AR3" s="7"/>
      <c r="AS3" s="7"/>
    </row>
    <row r="4" spans="1:45" ht="12.75">
      <c r="A4" s="5">
        <v>42580</v>
      </c>
      <c r="B4" s="1">
        <f>1.3</f>
        <v>1.3</v>
      </c>
      <c r="C4" s="1">
        <f>B4*AA4</f>
        <v>4.55</v>
      </c>
      <c r="D4" s="1">
        <f>4.8+2.3</f>
        <v>7.1</v>
      </c>
      <c r="E4" s="1">
        <f>D4*AA4</f>
        <v>24.849999999999998</v>
      </c>
      <c r="F4" s="1"/>
      <c r="G4" s="1">
        <f>F4*AA4</f>
        <v>0</v>
      </c>
      <c r="H4" s="1"/>
      <c r="I4" s="1">
        <f>H4*AA4</f>
        <v>0</v>
      </c>
      <c r="J4" s="1"/>
      <c r="K4" s="1">
        <f>J4*AA4</f>
        <v>0</v>
      </c>
      <c r="L4" s="1">
        <v>10</v>
      </c>
      <c r="M4" s="1">
        <f>L4*AA4</f>
        <v>35</v>
      </c>
      <c r="N4" s="1"/>
      <c r="O4" s="1">
        <f>N4*AA4</f>
        <v>0</v>
      </c>
      <c r="P4" s="1"/>
      <c r="Q4" s="1"/>
      <c r="R4" s="1" t="s">
        <v>26</v>
      </c>
      <c r="S4" s="1"/>
      <c r="T4" s="1"/>
      <c r="U4" s="1"/>
      <c r="V4" s="1"/>
      <c r="W4" s="1"/>
      <c r="X4" s="1"/>
      <c r="Y4" s="1" t="s">
        <v>133</v>
      </c>
      <c r="Z4" s="1">
        <f>B4+D4+F4+H4+J4+L4</f>
        <v>18.4</v>
      </c>
      <c r="AA4" s="1">
        <v>3.5</v>
      </c>
      <c r="AB4" s="2">
        <f>Z4*AA4</f>
        <v>64.39999999999999</v>
      </c>
      <c r="AC4" s="1"/>
      <c r="AD4" s="1">
        <v>5</v>
      </c>
      <c r="AF4" s="1"/>
      <c r="AG4" s="1"/>
      <c r="AH4" s="1"/>
      <c r="AI4" s="1"/>
      <c r="AJ4" s="1"/>
      <c r="AK4" s="1"/>
      <c r="AL4" s="1" t="s">
        <v>97</v>
      </c>
      <c r="AM4" s="1">
        <f>COUNTA(U2:U490)</f>
        <v>0</v>
      </c>
      <c r="AN4" s="1"/>
      <c r="AO4" s="7"/>
      <c r="AP4" s="7"/>
      <c r="AQ4" s="7"/>
      <c r="AR4" s="7"/>
      <c r="AS4" s="7"/>
    </row>
    <row r="5" spans="1:45" ht="12.75">
      <c r="A5" s="5">
        <v>42581</v>
      </c>
      <c r="B5" s="1"/>
      <c r="C5" s="1">
        <f>B5*AA5</f>
        <v>0</v>
      </c>
      <c r="D5" s="1">
        <f>2.44+1.7</f>
        <v>4.140000000000001</v>
      </c>
      <c r="E5" s="1">
        <f>D5*AA5</f>
        <v>14.490000000000002</v>
      </c>
      <c r="F5" s="1"/>
      <c r="G5" s="1">
        <f>F5*AA5</f>
        <v>0</v>
      </c>
      <c r="H5" s="1"/>
      <c r="I5" s="1">
        <f>H5*AA5</f>
        <v>0</v>
      </c>
      <c r="J5" s="1"/>
      <c r="K5" s="1">
        <f>J5*AA5</f>
        <v>0</v>
      </c>
      <c r="L5" s="1">
        <v>10</v>
      </c>
      <c r="M5" s="1">
        <f>L5*AA5</f>
        <v>35</v>
      </c>
      <c r="N5" s="1"/>
      <c r="O5" s="1">
        <f>N5*AA5</f>
        <v>0</v>
      </c>
      <c r="P5" s="1"/>
      <c r="Q5" s="1"/>
      <c r="R5" s="1" t="s">
        <v>26</v>
      </c>
      <c r="S5" s="1"/>
      <c r="T5" s="1"/>
      <c r="U5" s="1"/>
      <c r="V5" s="1"/>
      <c r="W5" s="1"/>
      <c r="X5" s="1"/>
      <c r="Y5" s="1" t="s">
        <v>133</v>
      </c>
      <c r="Z5" s="1">
        <f>B5+D5+F5+H5+J5+L5</f>
        <v>14.14</v>
      </c>
      <c r="AA5" s="1">
        <v>3.5</v>
      </c>
      <c r="AB5" s="2">
        <f>Z5*AA5</f>
        <v>49.49</v>
      </c>
      <c r="AC5" s="1"/>
      <c r="AD5" s="1">
        <v>5</v>
      </c>
      <c r="AF5" s="1" t="s">
        <v>42</v>
      </c>
      <c r="AG5" s="1">
        <f>COUNTA(A2:A350)</f>
        <v>54</v>
      </c>
      <c r="AH5" s="1"/>
      <c r="AI5" s="1"/>
      <c r="AJ5" s="1"/>
      <c r="AK5" s="1"/>
      <c r="AL5" s="8" t="s">
        <v>13</v>
      </c>
      <c r="AM5" s="8">
        <f>COUNTA(P2:P490)</f>
        <v>0</v>
      </c>
      <c r="AN5" s="1"/>
      <c r="AO5" s="1"/>
      <c r="AP5" s="1"/>
      <c r="AQ5" s="1"/>
      <c r="AR5" s="1"/>
      <c r="AS5" s="1"/>
    </row>
    <row r="6" spans="1:45" ht="12.75">
      <c r="A6" s="3">
        <v>42582</v>
      </c>
      <c r="B6" s="1"/>
      <c r="C6" s="1">
        <f>B6*AA6</f>
        <v>0</v>
      </c>
      <c r="D6" s="1">
        <f>2</f>
        <v>2</v>
      </c>
      <c r="E6" s="1">
        <f>D6*AA6</f>
        <v>7</v>
      </c>
      <c r="F6" s="1">
        <f>4.5</f>
        <v>4.5</v>
      </c>
      <c r="G6" s="1">
        <f>F6*AA6</f>
        <v>15.75</v>
      </c>
      <c r="H6" s="1"/>
      <c r="I6" s="1">
        <f>H6*AA6</f>
        <v>0</v>
      </c>
      <c r="J6" s="1"/>
      <c r="K6" s="1">
        <f>J6*AA6</f>
        <v>0</v>
      </c>
      <c r="L6" s="1">
        <v>10</v>
      </c>
      <c r="M6" s="1">
        <f>L6*AA6</f>
        <v>35</v>
      </c>
      <c r="N6" s="1"/>
      <c r="O6" s="1">
        <f>N6*AA6</f>
        <v>0</v>
      </c>
      <c r="P6" s="1"/>
      <c r="Q6" s="1"/>
      <c r="R6" s="1" t="s">
        <v>26</v>
      </c>
      <c r="S6" s="1"/>
      <c r="T6" s="1"/>
      <c r="U6" s="1"/>
      <c r="V6" s="1"/>
      <c r="W6" s="1"/>
      <c r="X6" s="1"/>
      <c r="Y6" s="1" t="s">
        <v>133</v>
      </c>
      <c r="Z6" s="1">
        <f>B6+D6+F6+H6+J6+L6</f>
        <v>16.5</v>
      </c>
      <c r="AA6" s="1">
        <v>3.5</v>
      </c>
      <c r="AB6" s="2">
        <f>Z6*AA6</f>
        <v>57.75</v>
      </c>
      <c r="AC6" s="1"/>
      <c r="AD6" s="1">
        <v>5</v>
      </c>
      <c r="AG6" s="1"/>
      <c r="AH6" s="1"/>
      <c r="AI6" s="1"/>
      <c r="AJ6" s="1"/>
      <c r="AK6" s="1"/>
      <c r="AL6" s="8" t="s">
        <v>44</v>
      </c>
      <c r="AM6" s="1">
        <f>COUNTA(R2:R490)</f>
        <v>50</v>
      </c>
      <c r="AN6" s="1"/>
      <c r="AO6" s="1"/>
      <c r="AP6" s="1"/>
      <c r="AQ6" s="1"/>
      <c r="AR6" s="1"/>
      <c r="AS6" s="1"/>
    </row>
    <row r="7" spans="1:45" ht="12.75">
      <c r="A7" s="5">
        <v>42583</v>
      </c>
      <c r="B7" s="1">
        <v>0.6000000000000001</v>
      </c>
      <c r="C7" s="1">
        <f>B7*AA7</f>
        <v>2.1000000000000005</v>
      </c>
      <c r="D7" s="1">
        <f>1+0.8+2.25+2</f>
        <v>6.05</v>
      </c>
      <c r="E7" s="1">
        <f>D7*AA7</f>
        <v>21.175</v>
      </c>
      <c r="F7" s="1">
        <v>3</v>
      </c>
      <c r="G7" s="1">
        <f>F7*AA7</f>
        <v>10.5</v>
      </c>
      <c r="H7" s="1"/>
      <c r="I7" s="1">
        <f>H7*AA7</f>
        <v>0</v>
      </c>
      <c r="J7" s="1"/>
      <c r="K7" s="1">
        <f>J7*AA7</f>
        <v>0</v>
      </c>
      <c r="L7" s="1"/>
      <c r="M7" s="1">
        <f>L7*AA7</f>
        <v>0</v>
      </c>
      <c r="N7" s="1"/>
      <c r="O7" s="1">
        <f>N7*AA7</f>
        <v>0</v>
      </c>
      <c r="P7" s="1"/>
      <c r="Q7" s="1"/>
      <c r="R7" s="1" t="s">
        <v>26</v>
      </c>
      <c r="S7" s="1"/>
      <c r="T7" s="1"/>
      <c r="U7" s="1"/>
      <c r="V7" s="1"/>
      <c r="W7" s="1"/>
      <c r="X7" s="1">
        <v>2</v>
      </c>
      <c r="Y7" s="1" t="s">
        <v>134</v>
      </c>
      <c r="Z7" s="1">
        <f>B7+D7+F7+H7+J7+L7+N7</f>
        <v>9.65</v>
      </c>
      <c r="AA7" s="1">
        <v>3.5</v>
      </c>
      <c r="AB7" s="2">
        <f>Z7*AA7</f>
        <v>33.775</v>
      </c>
      <c r="AC7" s="1"/>
      <c r="AD7" s="1">
        <v>5</v>
      </c>
      <c r="AF7" s="1"/>
      <c r="AG7" s="1"/>
      <c r="AH7" s="1"/>
      <c r="AI7" s="1" t="s">
        <v>46</v>
      </c>
      <c r="AJ7" s="1"/>
      <c r="AK7" s="1"/>
      <c r="AL7" s="1" t="s">
        <v>16</v>
      </c>
      <c r="AM7" s="1">
        <f>COUNTA(S2:S490)</f>
        <v>0</v>
      </c>
      <c r="AN7" s="1"/>
      <c r="AO7" s="1"/>
      <c r="AP7" s="1"/>
      <c r="AQ7" s="1"/>
      <c r="AR7" s="1"/>
      <c r="AS7" s="1"/>
    </row>
    <row r="8" spans="1:45" ht="12.75">
      <c r="A8" s="5">
        <v>42584</v>
      </c>
      <c r="B8" s="1"/>
      <c r="C8" s="1">
        <f>B8*AA8</f>
        <v>0</v>
      </c>
      <c r="D8" s="1">
        <f>1.25+6.95</f>
        <v>8.2</v>
      </c>
      <c r="E8" s="1">
        <f>D8*AA8</f>
        <v>28.699999999999996</v>
      </c>
      <c r="F8" s="1">
        <v>4</v>
      </c>
      <c r="G8" s="1">
        <f>F8*AA8</f>
        <v>14</v>
      </c>
      <c r="H8" s="1"/>
      <c r="I8" s="1">
        <f>H8*AA8</f>
        <v>0</v>
      </c>
      <c r="J8" s="1"/>
      <c r="K8" s="1">
        <f>J8*AA8</f>
        <v>0</v>
      </c>
      <c r="L8" s="1"/>
      <c r="M8" s="1">
        <f>L8*AA8</f>
        <v>0</v>
      </c>
      <c r="N8" s="1"/>
      <c r="O8" s="1">
        <f>N8*AA8</f>
        <v>0</v>
      </c>
      <c r="P8" s="1"/>
      <c r="Q8" s="1"/>
      <c r="R8" s="1" t="s">
        <v>26</v>
      </c>
      <c r="S8" s="1"/>
      <c r="T8" s="1"/>
      <c r="U8" s="1"/>
      <c r="V8" s="1"/>
      <c r="W8" s="1"/>
      <c r="X8" s="1"/>
      <c r="Y8" s="1" t="s">
        <v>134</v>
      </c>
      <c r="Z8" s="1">
        <f>B8+D8+F8+H8+J8+L8+N8</f>
        <v>12.2</v>
      </c>
      <c r="AA8" s="1">
        <v>3.5</v>
      </c>
      <c r="AB8" s="2">
        <f>Z8*AA8</f>
        <v>42.699999999999996</v>
      </c>
      <c r="AC8" s="1"/>
      <c r="AD8" s="1">
        <v>5</v>
      </c>
      <c r="AF8" s="1" t="s">
        <v>48</v>
      </c>
      <c r="AG8" s="4">
        <f>SUM(M2:M995)</f>
        <v>616.1800000000001</v>
      </c>
      <c r="AH8" s="1"/>
      <c r="AI8" s="1" t="s">
        <v>11</v>
      </c>
      <c r="AJ8" s="4">
        <f>AG8/$AG$5</f>
        <v>11.410740740740742</v>
      </c>
      <c r="AK8" s="1"/>
      <c r="AL8" s="8" t="s">
        <v>14</v>
      </c>
      <c r="AM8" s="8">
        <f>COUNTA(Q2:Q409)</f>
        <v>0</v>
      </c>
      <c r="AN8" s="1"/>
      <c r="AO8" s="1"/>
      <c r="AP8" s="1"/>
      <c r="AQ8" s="1"/>
      <c r="AR8" s="1"/>
      <c r="AS8" s="1"/>
    </row>
    <row r="9" spans="1:45" ht="12.75">
      <c r="A9" s="5">
        <v>42585</v>
      </c>
      <c r="B9" s="1">
        <f>4+0.2</f>
        <v>4.2</v>
      </c>
      <c r="C9" s="1">
        <f>B9*AA9</f>
        <v>14.700000000000001</v>
      </c>
      <c r="D9" s="1">
        <v>1.5</v>
      </c>
      <c r="E9" s="1">
        <f>D9*AA9</f>
        <v>5.25</v>
      </c>
      <c r="F9" s="1">
        <v>2.2</v>
      </c>
      <c r="G9" s="1">
        <f>F9*AA9</f>
        <v>7.700000000000001</v>
      </c>
      <c r="H9" s="1"/>
      <c r="I9" s="1">
        <f>H9*AA9</f>
        <v>0</v>
      </c>
      <c r="J9" s="1"/>
      <c r="K9" s="1">
        <f>J9*AA9</f>
        <v>0</v>
      </c>
      <c r="L9" s="1"/>
      <c r="M9" s="1">
        <f>L9*AA9</f>
        <v>0</v>
      </c>
      <c r="N9" s="1"/>
      <c r="O9" s="1">
        <f>N9*AA9</f>
        <v>0</v>
      </c>
      <c r="P9" s="1"/>
      <c r="Q9" s="1"/>
      <c r="R9" s="1" t="s">
        <v>26</v>
      </c>
      <c r="S9" s="1"/>
      <c r="T9" s="1"/>
      <c r="U9" s="1"/>
      <c r="V9" s="1"/>
      <c r="W9" s="1"/>
      <c r="X9" s="1">
        <v>1</v>
      </c>
      <c r="Y9" s="1" t="s">
        <v>134</v>
      </c>
      <c r="Z9" s="1">
        <f>B9+D9+F9+H9+J9+L9+N9</f>
        <v>7.9</v>
      </c>
      <c r="AA9" s="1">
        <v>3.5</v>
      </c>
      <c r="AB9" s="2">
        <f>Z9*AA9</f>
        <v>27.650000000000002</v>
      </c>
      <c r="AC9" s="1"/>
      <c r="AD9" s="1">
        <v>5</v>
      </c>
      <c r="AF9" s="1" t="s">
        <v>50</v>
      </c>
      <c r="AG9" s="1">
        <f>SUM(C2:C995)</f>
        <v>425.741</v>
      </c>
      <c r="AH9" s="1"/>
      <c r="AI9" s="1" t="s">
        <v>1</v>
      </c>
      <c r="AJ9" s="1">
        <f>AG9/$AG$5</f>
        <v>7.884092592592593</v>
      </c>
      <c r="AK9" s="1"/>
      <c r="AL9" s="8" t="s">
        <v>100</v>
      </c>
      <c r="AM9" s="8">
        <f>COUNTA(W3:W500)</f>
        <v>0</v>
      </c>
      <c r="AN9" s="1"/>
      <c r="AO9" s="1"/>
      <c r="AP9" s="1"/>
      <c r="AQ9" s="1"/>
      <c r="AR9" s="1"/>
      <c r="AS9" s="1"/>
    </row>
    <row r="10" spans="1:45" ht="12.75">
      <c r="A10" s="5">
        <v>42586</v>
      </c>
      <c r="B10" s="1"/>
      <c r="C10" s="1">
        <f>B10*AA10</f>
        <v>0</v>
      </c>
      <c r="D10" s="1">
        <f>1+1+1.5+0.94+1</f>
        <v>5.44</v>
      </c>
      <c r="E10" s="1">
        <f>D10*AA10</f>
        <v>19.040000000000003</v>
      </c>
      <c r="F10" s="1">
        <v>4.75</v>
      </c>
      <c r="G10" s="1">
        <f>F10*AA10</f>
        <v>16.625</v>
      </c>
      <c r="H10" s="1"/>
      <c r="I10" s="1">
        <f>H10*AA10</f>
        <v>0</v>
      </c>
      <c r="J10" s="1"/>
      <c r="K10" s="1">
        <f>J10*AA10</f>
        <v>0</v>
      </c>
      <c r="L10" s="1"/>
      <c r="M10" s="1">
        <f>L10*AA10</f>
        <v>0</v>
      </c>
      <c r="N10" s="1"/>
      <c r="O10" s="1">
        <f>N10*AA10</f>
        <v>0</v>
      </c>
      <c r="P10" s="1"/>
      <c r="Q10" s="1"/>
      <c r="R10" s="1" t="s">
        <v>26</v>
      </c>
      <c r="S10" s="1"/>
      <c r="T10" s="1"/>
      <c r="U10" s="1"/>
      <c r="V10" s="1"/>
      <c r="W10" s="1"/>
      <c r="X10" s="1"/>
      <c r="Y10" s="1" t="s">
        <v>134</v>
      </c>
      <c r="Z10" s="1">
        <f>B10+D10+F10+H10+J10+L10+N10</f>
        <v>10.190000000000001</v>
      </c>
      <c r="AA10" s="1">
        <v>3.5</v>
      </c>
      <c r="AB10" s="2">
        <f>Z10*AA10</f>
        <v>35.665000000000006</v>
      </c>
      <c r="AC10" s="1"/>
      <c r="AD10" s="1">
        <v>5</v>
      </c>
      <c r="AF10" s="1" t="s">
        <v>51</v>
      </c>
      <c r="AG10" s="4">
        <f>SUM(E2:E995)</f>
        <v>1312.0524000000003</v>
      </c>
      <c r="AH10" s="1"/>
      <c r="AI10" s="1" t="s">
        <v>52</v>
      </c>
      <c r="AJ10" s="1">
        <f>AG10/$AG$5</f>
        <v>24.297266666666673</v>
      </c>
      <c r="AK10" s="1"/>
      <c r="AL10" s="8" t="s">
        <v>19</v>
      </c>
      <c r="AM10" s="8">
        <f>COUNTA(V4:V510)</f>
        <v>0</v>
      </c>
      <c r="AN10" s="1"/>
      <c r="AO10" s="1"/>
      <c r="AP10" s="1"/>
      <c r="AQ10" s="1"/>
      <c r="AR10" s="1"/>
      <c r="AS10" s="1"/>
    </row>
    <row r="11" spans="1:45" ht="12.75">
      <c r="A11" s="5">
        <v>42587</v>
      </c>
      <c r="B11" s="1"/>
      <c r="C11" s="1">
        <f>B11*AA11</f>
        <v>0</v>
      </c>
      <c r="D11" s="1">
        <f>2+4.16</f>
        <v>6.16</v>
      </c>
      <c r="E11" s="1">
        <f>D11*AA11</f>
        <v>21.560000000000002</v>
      </c>
      <c r="F11" s="1">
        <f>3.5</f>
        <v>3.5</v>
      </c>
      <c r="G11" s="1">
        <f>F11*AA11</f>
        <v>12.25</v>
      </c>
      <c r="H11" s="1"/>
      <c r="I11" s="1">
        <f>H11*AA11</f>
        <v>0</v>
      </c>
      <c r="J11" s="1"/>
      <c r="K11" s="1">
        <f>J11*AA11</f>
        <v>0</v>
      </c>
      <c r="L11" s="1"/>
      <c r="M11" s="1">
        <f>L11*AA11</f>
        <v>0</v>
      </c>
      <c r="N11" s="1"/>
      <c r="O11" s="1">
        <f>N11*AA11</f>
        <v>0</v>
      </c>
      <c r="P11" s="1"/>
      <c r="Q11" s="1"/>
      <c r="R11" s="1" t="s">
        <v>26</v>
      </c>
      <c r="S11" s="1"/>
      <c r="T11" s="1"/>
      <c r="U11" s="1"/>
      <c r="V11" s="1"/>
      <c r="W11" s="1"/>
      <c r="X11" s="1"/>
      <c r="Y11" s="1" t="s">
        <v>134</v>
      </c>
      <c r="Z11" s="1">
        <f>B11+D11+F11+H11+J11+L11+N11</f>
        <v>9.66</v>
      </c>
      <c r="AA11" s="1">
        <v>3.5</v>
      </c>
      <c r="AB11" s="2">
        <f>Z11*AA11</f>
        <v>33.81</v>
      </c>
      <c r="AC11" s="1"/>
      <c r="AD11" s="1">
        <v>5</v>
      </c>
      <c r="AF11" s="1" t="s">
        <v>54</v>
      </c>
      <c r="AG11" s="4">
        <f>SUM(G2:G995)</f>
        <v>353.91679999999997</v>
      </c>
      <c r="AH11" s="1"/>
      <c r="AI11" s="1" t="s">
        <v>55</v>
      </c>
      <c r="AJ11" s="4">
        <f>AG11/$AG$5</f>
        <v>6.554014814814814</v>
      </c>
      <c r="AK11" s="1"/>
      <c r="AL11" s="1" t="s">
        <v>17</v>
      </c>
      <c r="AM11" s="1">
        <f>COUNTA(T4:T510)</f>
        <v>3</v>
      </c>
      <c r="AN11" s="1"/>
      <c r="AO11" s="1"/>
      <c r="AP11" s="1"/>
      <c r="AQ11" s="1"/>
      <c r="AR11" s="1"/>
      <c r="AS11" s="1"/>
    </row>
    <row r="12" spans="1:45" ht="12.75">
      <c r="A12" s="5">
        <v>42588</v>
      </c>
      <c r="B12" s="1">
        <f>2.1+12+0.2</f>
        <v>14.299999999999999</v>
      </c>
      <c r="C12" s="1">
        <f>B12*AA12</f>
        <v>50.05</v>
      </c>
      <c r="D12" s="1">
        <v>14.15</v>
      </c>
      <c r="E12" s="1">
        <f>D12*AA12</f>
        <v>49.525</v>
      </c>
      <c r="F12" s="1">
        <v>3</v>
      </c>
      <c r="G12" s="1">
        <f>F12*AA12</f>
        <v>10.5</v>
      </c>
      <c r="H12" s="1">
        <v>10</v>
      </c>
      <c r="I12" s="1">
        <f>H12*AA12</f>
        <v>35</v>
      </c>
      <c r="J12" s="1">
        <v>0.42</v>
      </c>
      <c r="K12" s="1">
        <f>J12*AA12</f>
        <v>1.47</v>
      </c>
      <c r="L12" s="1"/>
      <c r="M12" s="1">
        <f>L12*AA12</f>
        <v>0</v>
      </c>
      <c r="N12" s="1"/>
      <c r="O12" s="1">
        <f>N12*AA12</f>
        <v>0</v>
      </c>
      <c r="P12" s="1"/>
      <c r="Q12" s="1"/>
      <c r="R12" s="1"/>
      <c r="S12" s="1"/>
      <c r="T12" s="1" t="s">
        <v>26</v>
      </c>
      <c r="U12" s="1"/>
      <c r="V12" s="1"/>
      <c r="W12" s="1"/>
      <c r="X12" s="1"/>
      <c r="Y12" s="1" t="s">
        <v>135</v>
      </c>
      <c r="Z12" s="1">
        <f>B12+D12+F12+H12+J12+L12+N12</f>
        <v>41.870000000000005</v>
      </c>
      <c r="AA12" s="1">
        <v>3.5</v>
      </c>
      <c r="AB12" s="2">
        <f>Z12*AA12</f>
        <v>146.54500000000002</v>
      </c>
      <c r="AC12" s="1"/>
      <c r="AD12" s="1">
        <v>5</v>
      </c>
      <c r="AF12" s="1" t="s">
        <v>57</v>
      </c>
      <c r="AG12" s="4">
        <f>SUM(K2:K995)</f>
        <v>131.208</v>
      </c>
      <c r="AH12" s="1"/>
      <c r="AI12" s="1" t="s">
        <v>9</v>
      </c>
      <c r="AJ12" s="4">
        <f>AG12/$AG$5</f>
        <v>2.429777777777778</v>
      </c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5">
        <v>42589</v>
      </c>
      <c r="B13" s="1"/>
      <c r="C13" s="1">
        <f>B13*AA13</f>
        <v>0</v>
      </c>
      <c r="D13" s="1">
        <f>4.45</f>
        <v>4.45</v>
      </c>
      <c r="E13" s="1">
        <f>D13*AA13</f>
        <v>15.575000000000001</v>
      </c>
      <c r="F13" s="1"/>
      <c r="G13" s="1">
        <f>F13*AA13</f>
        <v>0</v>
      </c>
      <c r="H13" s="1"/>
      <c r="I13" s="1">
        <f>H13*AA13</f>
        <v>0</v>
      </c>
      <c r="J13" s="1"/>
      <c r="K13" s="1">
        <f>J13*AA13</f>
        <v>0</v>
      </c>
      <c r="L13" s="1"/>
      <c r="M13" s="1">
        <f>L13*AA13</f>
        <v>0</v>
      </c>
      <c r="N13" s="1"/>
      <c r="O13" s="1">
        <f>N13*AA13</f>
        <v>0</v>
      </c>
      <c r="P13" s="1"/>
      <c r="Q13" s="1"/>
      <c r="R13" s="1"/>
      <c r="S13" s="1"/>
      <c r="T13" s="1" t="s">
        <v>26</v>
      </c>
      <c r="U13" s="1"/>
      <c r="V13" s="1"/>
      <c r="W13" s="1"/>
      <c r="X13" s="1"/>
      <c r="Y13" s="1" t="s">
        <v>136</v>
      </c>
      <c r="Z13" s="1">
        <f>B13+D13+F13+H13+J13+L13+N13</f>
        <v>4.45</v>
      </c>
      <c r="AA13" s="1">
        <v>3.5</v>
      </c>
      <c r="AB13" s="2">
        <f>Z13*AA13</f>
        <v>15.575000000000001</v>
      </c>
      <c r="AC13" s="1"/>
      <c r="AD13" s="1">
        <v>5</v>
      </c>
      <c r="AF13" s="1" t="s">
        <v>58</v>
      </c>
      <c r="AG13" s="1">
        <f>SUM(I2:I995)</f>
        <v>155.99</v>
      </c>
      <c r="AH13" s="1"/>
      <c r="AI13" s="1" t="s">
        <v>7</v>
      </c>
      <c r="AJ13" s="4">
        <f>AG13/$AG$5</f>
        <v>2.8887037037037038</v>
      </c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5">
        <v>42590</v>
      </c>
      <c r="B14" s="1"/>
      <c r="C14" s="1">
        <f>B14*AA14</f>
        <v>0</v>
      </c>
      <c r="D14" s="1">
        <f>19.15</f>
        <v>19.15</v>
      </c>
      <c r="E14" s="1">
        <f>D14*AA14</f>
        <v>67.02499999999999</v>
      </c>
      <c r="F14" s="1">
        <v>6.75</v>
      </c>
      <c r="G14" s="1">
        <f>F14*AA14</f>
        <v>23.625</v>
      </c>
      <c r="H14" s="1">
        <v>10</v>
      </c>
      <c r="I14" s="1">
        <f>H14*AA14</f>
        <v>35</v>
      </c>
      <c r="J14" s="1"/>
      <c r="K14" s="1">
        <f>J14*AA14</f>
        <v>0</v>
      </c>
      <c r="L14" s="1"/>
      <c r="M14" s="1">
        <f>L14*AA14</f>
        <v>0</v>
      </c>
      <c r="N14" s="1"/>
      <c r="O14" s="1">
        <f>N14*AA14</f>
        <v>0</v>
      </c>
      <c r="P14" s="1"/>
      <c r="Q14" s="1"/>
      <c r="R14" s="1"/>
      <c r="S14" s="1"/>
      <c r="T14" s="1" t="s">
        <v>26</v>
      </c>
      <c r="U14" s="1"/>
      <c r="V14" s="1"/>
      <c r="W14" s="1"/>
      <c r="X14" s="1"/>
      <c r="Y14" s="1" t="s">
        <v>136</v>
      </c>
      <c r="Z14" s="1">
        <f>B14+D14+F14+H14+J14+L14+N14</f>
        <v>35.9</v>
      </c>
      <c r="AA14" s="1">
        <v>3.5</v>
      </c>
      <c r="AB14" s="2">
        <f>Z14*AA14</f>
        <v>125.64999999999999</v>
      </c>
      <c r="AC14" s="1"/>
      <c r="AD14" s="1">
        <v>5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5">
        <v>42591</v>
      </c>
      <c r="B15" s="1"/>
      <c r="C15" s="1">
        <f>B15*AA15</f>
        <v>0</v>
      </c>
      <c r="D15" s="1">
        <v>4.15</v>
      </c>
      <c r="E15" s="1">
        <f>D15*AA15</f>
        <v>14.193000000000001</v>
      </c>
      <c r="F15" s="1"/>
      <c r="G15" s="1">
        <f>F15*AA15</f>
        <v>0</v>
      </c>
      <c r="H15" s="1"/>
      <c r="I15" s="1">
        <f>H15*AA15</f>
        <v>0</v>
      </c>
      <c r="J15" s="1"/>
      <c r="K15" s="1">
        <f>J15*AA15</f>
        <v>0</v>
      </c>
      <c r="L15" s="1"/>
      <c r="M15" s="1">
        <f>L15*AA15</f>
        <v>0</v>
      </c>
      <c r="N15" s="1"/>
      <c r="O15" s="1">
        <f>N15*AA15</f>
        <v>0</v>
      </c>
      <c r="P15" s="1"/>
      <c r="Q15" s="1"/>
      <c r="R15" s="1" t="s">
        <v>26</v>
      </c>
      <c r="S15" s="1"/>
      <c r="T15" s="1"/>
      <c r="U15" s="1"/>
      <c r="V15" s="1"/>
      <c r="W15" s="1"/>
      <c r="X15" s="1">
        <v>2</v>
      </c>
      <c r="Y15" s="1" t="s">
        <v>137</v>
      </c>
      <c r="Z15" s="1">
        <f>B15+D15+F15+H15+J15+L15+N15</f>
        <v>4.15</v>
      </c>
      <c r="AA15" s="1">
        <v>3.42</v>
      </c>
      <c r="AB15" s="2">
        <f>Z15*AA15</f>
        <v>14.193000000000001</v>
      </c>
      <c r="AC15" s="1"/>
      <c r="AD15" s="1">
        <v>5</v>
      </c>
      <c r="AG15" s="8">
        <f>SUM(AG8:AG13)</f>
        <v>2995.088200000001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5">
        <v>42592</v>
      </c>
      <c r="B16" s="1"/>
      <c r="C16" s="1">
        <f>B16*AA16</f>
        <v>0</v>
      </c>
      <c r="D16" s="1">
        <f>4.5+1+1.05+2</f>
        <v>8.55</v>
      </c>
      <c r="E16" s="1">
        <f>D16*AA16</f>
        <v>29.241000000000003</v>
      </c>
      <c r="F16" s="1"/>
      <c r="G16" s="1">
        <f>F16*AA16</f>
        <v>0</v>
      </c>
      <c r="H16" s="1"/>
      <c r="I16" s="1">
        <f>H16*AA16</f>
        <v>0</v>
      </c>
      <c r="J16" s="1"/>
      <c r="K16" s="1">
        <f>J16*AA16</f>
        <v>0</v>
      </c>
      <c r="L16" s="1"/>
      <c r="M16" s="1">
        <f>L16*AA16</f>
        <v>0</v>
      </c>
      <c r="N16" s="1"/>
      <c r="O16" s="1">
        <f>N16*AA16</f>
        <v>0</v>
      </c>
      <c r="P16" s="1"/>
      <c r="Q16" s="1"/>
      <c r="R16" s="1" t="s">
        <v>26</v>
      </c>
      <c r="S16" s="1"/>
      <c r="T16" s="1"/>
      <c r="U16" s="1"/>
      <c r="V16" s="1"/>
      <c r="W16" s="1"/>
      <c r="X16" s="1"/>
      <c r="Y16" s="1" t="s">
        <v>138</v>
      </c>
      <c r="Z16" s="1">
        <f>B16+D16+F16+H16+J16+L16+N16</f>
        <v>8.55</v>
      </c>
      <c r="AA16" s="1">
        <v>3.42</v>
      </c>
      <c r="AB16" s="2">
        <f>Z16*AA16</f>
        <v>29.241000000000003</v>
      </c>
      <c r="AC16" s="1"/>
      <c r="AD16" s="1">
        <v>5</v>
      </c>
      <c r="AG16" s="1">
        <f>AG15/AG5</f>
        <v>55.464596296296314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5">
        <v>42593</v>
      </c>
      <c r="B17" s="1"/>
      <c r="C17" s="1">
        <f>B17*AA17</f>
        <v>0</v>
      </c>
      <c r="D17" s="1">
        <f>1+1.1+0.8+3.3+5.2+3.15+1</f>
        <v>15.55</v>
      </c>
      <c r="E17" s="1">
        <f>D17*AA17</f>
        <v>53.181000000000004</v>
      </c>
      <c r="F17" s="1"/>
      <c r="G17" s="1">
        <f>F17*AA17</f>
        <v>0</v>
      </c>
      <c r="H17" s="1"/>
      <c r="I17" s="1">
        <f>H17*AA17</f>
        <v>0</v>
      </c>
      <c r="J17" s="1"/>
      <c r="K17" s="1">
        <f>J17*AA17</f>
        <v>0</v>
      </c>
      <c r="L17" s="1">
        <v>4</v>
      </c>
      <c r="M17" s="1">
        <f>L17*AA17</f>
        <v>13.68</v>
      </c>
      <c r="N17" s="1"/>
      <c r="O17" s="1">
        <f>N17*AA17</f>
        <v>0</v>
      </c>
      <c r="P17" s="1"/>
      <c r="Q17" s="1"/>
      <c r="R17" s="1" t="s">
        <v>26</v>
      </c>
      <c r="S17" s="1"/>
      <c r="T17" s="1"/>
      <c r="U17" s="1"/>
      <c r="V17" s="1"/>
      <c r="W17" s="1"/>
      <c r="X17" s="1"/>
      <c r="Y17" s="1" t="s">
        <v>138</v>
      </c>
      <c r="Z17" s="1">
        <f>B17+D17+F17+H17+J17+L17+N17</f>
        <v>19.55</v>
      </c>
      <c r="AA17" s="1">
        <v>3.42</v>
      </c>
      <c r="AB17" s="2">
        <f>Z17*AA17</f>
        <v>66.861</v>
      </c>
      <c r="AC17" s="1"/>
      <c r="AD17" s="1">
        <v>5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5">
        <v>42594</v>
      </c>
      <c r="B18" s="1"/>
      <c r="C18" s="1">
        <f>B18*AA18</f>
        <v>0</v>
      </c>
      <c r="D18" s="1">
        <f>0.9+0.8+5+4.35</f>
        <v>11.05</v>
      </c>
      <c r="E18" s="1">
        <f>D18*AA18</f>
        <v>37.791000000000004</v>
      </c>
      <c r="F18" s="1"/>
      <c r="G18" s="1">
        <f>F18*AA18</f>
        <v>0</v>
      </c>
      <c r="H18" s="1"/>
      <c r="I18" s="1">
        <f>H18*AA18</f>
        <v>0</v>
      </c>
      <c r="J18" s="1"/>
      <c r="K18" s="1">
        <f>J18*AA18</f>
        <v>0</v>
      </c>
      <c r="L18" s="1">
        <v>4</v>
      </c>
      <c r="M18" s="1">
        <f>L18*AA18</f>
        <v>13.68</v>
      </c>
      <c r="N18" s="1"/>
      <c r="O18" s="1">
        <f>N18*AA18</f>
        <v>0</v>
      </c>
      <c r="P18" s="1"/>
      <c r="Q18" s="1"/>
      <c r="R18" s="1" t="s">
        <v>26</v>
      </c>
      <c r="S18" s="1"/>
      <c r="T18" s="1"/>
      <c r="U18" s="1"/>
      <c r="V18" s="1"/>
      <c r="W18" s="1"/>
      <c r="X18" s="1"/>
      <c r="Y18" s="1" t="s">
        <v>138</v>
      </c>
      <c r="Z18" s="1">
        <f>B18+D18+F18+H18+J18+L18+N18</f>
        <v>15.05</v>
      </c>
      <c r="AA18" s="1">
        <v>3.42</v>
      </c>
      <c r="AB18" s="2">
        <f>Z18*AA18</f>
        <v>51.471000000000004</v>
      </c>
      <c r="AC18" s="1"/>
      <c r="AD18" s="1">
        <v>5</v>
      </c>
      <c r="AF18" s="1" t="s">
        <v>59</v>
      </c>
      <c r="AG18" s="1">
        <f>SUM(X2:X300)</f>
        <v>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30" ht="12.75">
      <c r="A19" s="5">
        <v>42595</v>
      </c>
      <c r="B19" s="1"/>
      <c r="C19" s="1">
        <f>B19*AA19</f>
        <v>0</v>
      </c>
      <c r="D19" s="1">
        <f>0.5+2.5+4+1.3+1.5+8.05+2.07</f>
        <v>19.92</v>
      </c>
      <c r="E19" s="1">
        <f>D19*AA19</f>
        <v>68.1264</v>
      </c>
      <c r="F19" s="1"/>
      <c r="G19" s="1">
        <f>F19*AA19</f>
        <v>0</v>
      </c>
      <c r="H19" s="1"/>
      <c r="I19" s="1">
        <f>H19*AA19</f>
        <v>0</v>
      </c>
      <c r="J19" s="1"/>
      <c r="K19" s="1">
        <f>J19*AA19</f>
        <v>0</v>
      </c>
      <c r="L19" s="1">
        <v>4</v>
      </c>
      <c r="M19" s="1">
        <f>L19*AA19</f>
        <v>13.68</v>
      </c>
      <c r="N19" s="1"/>
      <c r="O19" s="1">
        <f>N19*AA19</f>
        <v>0</v>
      </c>
      <c r="P19" s="1"/>
      <c r="Q19" s="1"/>
      <c r="R19" s="1" t="s">
        <v>26</v>
      </c>
      <c r="S19" s="1"/>
      <c r="T19" s="1"/>
      <c r="U19" s="1"/>
      <c r="V19" s="1"/>
      <c r="W19" s="1"/>
      <c r="X19" s="1"/>
      <c r="Y19" s="1" t="s">
        <v>138</v>
      </c>
      <c r="Z19" s="1">
        <f>B19+D19+F19+H19+J19+L19+N19</f>
        <v>23.92</v>
      </c>
      <c r="AA19" s="1">
        <v>3.42</v>
      </c>
      <c r="AB19" s="2">
        <f>Z19*AA19</f>
        <v>81.80640000000001</v>
      </c>
      <c r="AC19" s="1"/>
      <c r="AD19" s="1">
        <v>5</v>
      </c>
    </row>
    <row r="20" spans="1:30" ht="12.75">
      <c r="A20" s="5">
        <v>42596</v>
      </c>
      <c r="B20" s="1"/>
      <c r="C20" s="1">
        <f>B20*AA20</f>
        <v>0</v>
      </c>
      <c r="D20" s="1">
        <f>2.1+1.25+2+1+0.5</f>
        <v>6.85</v>
      </c>
      <c r="E20" s="1">
        <f>D20*AA20</f>
        <v>23.427</v>
      </c>
      <c r="F20" s="1"/>
      <c r="G20" s="1">
        <f>F20*AA20</f>
        <v>0</v>
      </c>
      <c r="H20" s="1"/>
      <c r="I20" s="1">
        <f>H20*AA20</f>
        <v>0</v>
      </c>
      <c r="J20" s="1"/>
      <c r="K20" s="1">
        <f>J20*AA20</f>
        <v>0</v>
      </c>
      <c r="L20" s="1">
        <v>4</v>
      </c>
      <c r="M20" s="1">
        <f>L20*AA20</f>
        <v>13.68</v>
      </c>
      <c r="N20" s="1"/>
      <c r="O20" s="1">
        <f>N20*AA20</f>
        <v>0</v>
      </c>
      <c r="P20" s="1"/>
      <c r="Q20" s="1"/>
      <c r="R20" s="1" t="s">
        <v>26</v>
      </c>
      <c r="S20" s="1"/>
      <c r="T20" s="1"/>
      <c r="U20" s="1"/>
      <c r="V20" s="1"/>
      <c r="W20" s="1"/>
      <c r="X20" s="1"/>
      <c r="Y20" s="1" t="s">
        <v>138</v>
      </c>
      <c r="Z20" s="1">
        <f>B20+D20+F20+H20+J20+L20+N20</f>
        <v>10.85</v>
      </c>
      <c r="AA20" s="1">
        <v>3.42</v>
      </c>
      <c r="AB20" s="2">
        <f>Z20*AA20</f>
        <v>37.107</v>
      </c>
      <c r="AC20" s="1"/>
      <c r="AD20" s="1">
        <v>5</v>
      </c>
    </row>
    <row r="21" spans="1:30" ht="12.75">
      <c r="A21" s="5">
        <v>42597</v>
      </c>
      <c r="B21" s="1"/>
      <c r="C21" s="1">
        <f>B21*AA21</f>
        <v>0</v>
      </c>
      <c r="D21" s="1">
        <f>2+0.75+1.1+1+1.85+6.45+1+0.5+1</f>
        <v>15.649999999999999</v>
      </c>
      <c r="E21" s="1">
        <f>D21*AA21</f>
        <v>53.522999999999996</v>
      </c>
      <c r="F21" s="1"/>
      <c r="G21" s="1">
        <f>F21*AA21</f>
        <v>0</v>
      </c>
      <c r="H21" s="1"/>
      <c r="I21" s="1">
        <f>H21*AA21</f>
        <v>0</v>
      </c>
      <c r="J21" s="1"/>
      <c r="K21" s="1">
        <f>J21*AA21</f>
        <v>0</v>
      </c>
      <c r="L21" s="1">
        <v>4</v>
      </c>
      <c r="M21" s="1">
        <f>L21*AA21</f>
        <v>13.68</v>
      </c>
      <c r="N21" s="1"/>
      <c r="O21" s="1">
        <f>N21*AA21</f>
        <v>0</v>
      </c>
      <c r="P21" s="1"/>
      <c r="Q21" s="1"/>
      <c r="R21" s="1" t="s">
        <v>26</v>
      </c>
      <c r="S21" s="1"/>
      <c r="T21" s="1"/>
      <c r="U21" s="1"/>
      <c r="V21" s="1"/>
      <c r="W21" s="1"/>
      <c r="X21" s="1"/>
      <c r="Y21" s="1" t="s">
        <v>138</v>
      </c>
      <c r="Z21" s="1">
        <f>B21+D21+F21+H21+J21+L21+N21</f>
        <v>19.65</v>
      </c>
      <c r="AA21" s="1">
        <v>3.42</v>
      </c>
      <c r="AB21" s="2">
        <f>Z21*AA21</f>
        <v>67.20299999999999</v>
      </c>
      <c r="AC21" s="1"/>
      <c r="AD21" s="1">
        <v>5</v>
      </c>
    </row>
    <row r="22" spans="1:30" ht="12.75">
      <c r="A22" s="5">
        <v>42598</v>
      </c>
      <c r="B22" s="1"/>
      <c r="C22" s="1">
        <f>B22*AA22</f>
        <v>0</v>
      </c>
      <c r="D22" s="1">
        <f>2.1+9.15+1.2</f>
        <v>12.45</v>
      </c>
      <c r="E22" s="1">
        <f>D22*AA22</f>
        <v>42.57899999999999</v>
      </c>
      <c r="F22" s="1"/>
      <c r="G22" s="1">
        <f>F22*AA22</f>
        <v>0</v>
      </c>
      <c r="H22" s="1"/>
      <c r="I22" s="1">
        <f>H22*AA22</f>
        <v>0</v>
      </c>
      <c r="J22" s="1"/>
      <c r="K22" s="1">
        <f>J22*AA22</f>
        <v>0</v>
      </c>
      <c r="L22" s="1">
        <v>4</v>
      </c>
      <c r="M22" s="1">
        <f>L22*AA22</f>
        <v>13.68</v>
      </c>
      <c r="N22" s="1"/>
      <c r="O22" s="1">
        <f>N22*AA22</f>
        <v>0</v>
      </c>
      <c r="P22" s="1"/>
      <c r="Q22" s="1"/>
      <c r="R22" s="1" t="s">
        <v>26</v>
      </c>
      <c r="S22" s="1"/>
      <c r="T22" s="1"/>
      <c r="U22" s="1"/>
      <c r="V22" s="1"/>
      <c r="W22" s="1"/>
      <c r="X22" s="1"/>
      <c r="Y22" s="1" t="s">
        <v>138</v>
      </c>
      <c r="Z22" s="1">
        <f>B22+D22+F22+H22+J22+L22+N22</f>
        <v>16.45</v>
      </c>
      <c r="AA22" s="1">
        <v>3.42</v>
      </c>
      <c r="AB22" s="2">
        <f>Z22*AA22</f>
        <v>56.25899999999999</v>
      </c>
      <c r="AC22" s="1"/>
      <c r="AD22" s="1">
        <v>5</v>
      </c>
    </row>
    <row r="23" spans="1:30" ht="12.75">
      <c r="A23" s="5">
        <v>42599</v>
      </c>
      <c r="B23" s="1"/>
      <c r="C23" s="1">
        <f>B23*AA23</f>
        <v>0</v>
      </c>
      <c r="D23" s="1">
        <f>0.6+1.5+1+1+0.25+4.5+0.4</f>
        <v>9.25</v>
      </c>
      <c r="E23" s="1">
        <f>D23*AA23</f>
        <v>31.634999999999998</v>
      </c>
      <c r="F23" s="1"/>
      <c r="G23" s="1">
        <f>F23*AA23</f>
        <v>0</v>
      </c>
      <c r="H23" s="1"/>
      <c r="I23" s="1">
        <f>H23*AA23</f>
        <v>0</v>
      </c>
      <c r="J23" s="1"/>
      <c r="K23" s="1">
        <f>J23*AA23</f>
        <v>0</v>
      </c>
      <c r="L23" s="1">
        <v>4</v>
      </c>
      <c r="M23" s="1">
        <f>L23*AA23</f>
        <v>13.68</v>
      </c>
      <c r="N23" s="1"/>
      <c r="O23" s="1">
        <f>N23*AA23</f>
        <v>0</v>
      </c>
      <c r="P23" s="1"/>
      <c r="Q23" s="1"/>
      <c r="R23" s="1" t="s">
        <v>26</v>
      </c>
      <c r="S23" s="1"/>
      <c r="T23" s="1"/>
      <c r="U23" s="1"/>
      <c r="V23" s="1"/>
      <c r="W23" s="1"/>
      <c r="X23" s="1"/>
      <c r="Y23" s="1" t="s">
        <v>138</v>
      </c>
      <c r="Z23" s="1">
        <f>B23+D23+F23+H23+J23+L23+N23</f>
        <v>13.25</v>
      </c>
      <c r="AA23" s="1">
        <v>3.42</v>
      </c>
      <c r="AB23" s="2">
        <f>Z23*AA23</f>
        <v>45.315</v>
      </c>
      <c r="AC23" s="1"/>
      <c r="AD23" s="1">
        <v>5</v>
      </c>
    </row>
    <row r="24" spans="1:30" ht="12.75">
      <c r="A24" s="5">
        <v>42600</v>
      </c>
      <c r="B24" s="1">
        <f>10</f>
        <v>10</v>
      </c>
      <c r="C24" s="1">
        <f>B24*AA24</f>
        <v>34.2</v>
      </c>
      <c r="D24" s="1">
        <f>1.6+3.25+5.75</f>
        <v>10.6</v>
      </c>
      <c r="E24" s="1">
        <f>D24*AA24</f>
        <v>36.251999999999995</v>
      </c>
      <c r="F24" s="1"/>
      <c r="G24" s="1">
        <f>F24*AA24</f>
        <v>0</v>
      </c>
      <c r="H24" s="1">
        <v>2</v>
      </c>
      <c r="I24" s="1">
        <f>H24*AA24</f>
        <v>6.84</v>
      </c>
      <c r="J24" s="1"/>
      <c r="K24" s="1">
        <f>J24*AA24</f>
        <v>0</v>
      </c>
      <c r="L24" s="1">
        <v>4</v>
      </c>
      <c r="M24" s="1">
        <f>L24*AA24</f>
        <v>13.68</v>
      </c>
      <c r="N24" s="1"/>
      <c r="O24" s="1">
        <f>N24*AA24</f>
        <v>0</v>
      </c>
      <c r="P24" s="1"/>
      <c r="Q24" s="1"/>
      <c r="R24" s="1" t="s">
        <v>26</v>
      </c>
      <c r="S24" s="1"/>
      <c r="T24" s="1"/>
      <c r="U24" s="1"/>
      <c r="V24" s="1"/>
      <c r="W24" s="1"/>
      <c r="X24" s="1"/>
      <c r="Y24" s="1" t="s">
        <v>139</v>
      </c>
      <c r="Z24" s="1">
        <f>B24+D24+F24+H24+J24+L24+N24</f>
        <v>26.6</v>
      </c>
      <c r="AA24" s="1">
        <v>3.42</v>
      </c>
      <c r="AB24" s="2">
        <f>Z24*AA24</f>
        <v>90.97200000000001</v>
      </c>
      <c r="AC24" s="1"/>
      <c r="AD24" s="1">
        <v>5</v>
      </c>
    </row>
    <row r="25" spans="1:30" ht="12.75">
      <c r="A25" s="5">
        <v>42601</v>
      </c>
      <c r="B25" s="1">
        <f>1.5+1.5+0.5+0.5+2.5+2.5</f>
        <v>9</v>
      </c>
      <c r="C25" s="1">
        <f>B25*AA25</f>
        <v>30.78</v>
      </c>
      <c r="D25" s="1">
        <f>1.2+1.1</f>
        <v>2.3</v>
      </c>
      <c r="E25" s="1">
        <f>D25*AA25</f>
        <v>7.866</v>
      </c>
      <c r="F25" s="1"/>
      <c r="G25" s="1">
        <f>F25*AA25</f>
        <v>0</v>
      </c>
      <c r="H25" s="1"/>
      <c r="I25" s="1">
        <f>H25*AA25</f>
        <v>0</v>
      </c>
      <c r="J25" s="1"/>
      <c r="K25" s="1">
        <f>J25*AA25</f>
        <v>0</v>
      </c>
      <c r="L25" s="1">
        <v>4</v>
      </c>
      <c r="M25" s="1">
        <f>L25*AA25</f>
        <v>13.68</v>
      </c>
      <c r="N25" s="1"/>
      <c r="O25" s="1">
        <f>N25*AA25</f>
        <v>0</v>
      </c>
      <c r="P25" s="1"/>
      <c r="Q25" s="1"/>
      <c r="R25" s="1" t="s">
        <v>26</v>
      </c>
      <c r="S25" s="1"/>
      <c r="T25" s="1"/>
      <c r="U25" s="1"/>
      <c r="V25" s="1"/>
      <c r="W25" s="1"/>
      <c r="X25" s="1">
        <v>1</v>
      </c>
      <c r="Y25" s="1" t="s">
        <v>140</v>
      </c>
      <c r="Z25" s="1">
        <f>B25+D25+F25+H25+J25+L25+N25</f>
        <v>15.3</v>
      </c>
      <c r="AA25" s="1">
        <v>3.42</v>
      </c>
      <c r="AB25" s="2">
        <f>Z25*AA25</f>
        <v>52.326</v>
      </c>
      <c r="AC25" s="1"/>
      <c r="AD25" s="1">
        <v>5</v>
      </c>
    </row>
    <row r="26" spans="1:30" ht="12.75">
      <c r="A26" s="5">
        <v>42602</v>
      </c>
      <c r="B26" s="1"/>
      <c r="C26" s="1">
        <f>B26*AA26</f>
        <v>0</v>
      </c>
      <c r="D26" s="1">
        <f>3+2.8+1.85</f>
        <v>7.65</v>
      </c>
      <c r="E26" s="1">
        <f>D26*AA26</f>
        <v>26.163</v>
      </c>
      <c r="F26" s="1"/>
      <c r="G26" s="1">
        <f>F26*AA26</f>
        <v>0</v>
      </c>
      <c r="H26" s="1"/>
      <c r="I26" s="1">
        <f>H26*AA26</f>
        <v>0</v>
      </c>
      <c r="J26" s="1"/>
      <c r="K26" s="1">
        <f>J26*AA26</f>
        <v>0</v>
      </c>
      <c r="L26" s="1">
        <v>4</v>
      </c>
      <c r="M26" s="1">
        <f>L26*AA26</f>
        <v>13.68</v>
      </c>
      <c r="N26" s="1"/>
      <c r="O26" s="1">
        <f>N26*AA26</f>
        <v>0</v>
      </c>
      <c r="P26" s="1"/>
      <c r="Q26" s="1"/>
      <c r="R26" s="1" t="s">
        <v>26</v>
      </c>
      <c r="S26" s="1"/>
      <c r="T26" s="1"/>
      <c r="U26" s="1"/>
      <c r="V26" s="1"/>
      <c r="W26" s="1"/>
      <c r="X26" s="1"/>
      <c r="Y26" s="1" t="s">
        <v>138</v>
      </c>
      <c r="Z26" s="1">
        <f>B26+D26+F26+H26+J26+L26+N26</f>
        <v>11.65</v>
      </c>
      <c r="AA26" s="1">
        <v>3.42</v>
      </c>
      <c r="AB26" s="2">
        <f>Z26*AA26</f>
        <v>39.843</v>
      </c>
      <c r="AC26" s="1"/>
      <c r="AD26" s="1">
        <v>5</v>
      </c>
    </row>
    <row r="27" spans="1:30" ht="12.75">
      <c r="A27" s="5">
        <v>42603</v>
      </c>
      <c r="B27" s="1"/>
      <c r="C27" s="1">
        <f>B27*AA27</f>
        <v>0</v>
      </c>
      <c r="D27" s="1">
        <f>7+2.3+2+0.3</f>
        <v>11.600000000000001</v>
      </c>
      <c r="E27" s="1">
        <f>D27*AA27</f>
        <v>39.672000000000004</v>
      </c>
      <c r="F27" s="1"/>
      <c r="G27" s="1">
        <f>F27*AA27</f>
        <v>0</v>
      </c>
      <c r="H27" s="1"/>
      <c r="I27" s="1">
        <f>H27*AA27</f>
        <v>0</v>
      </c>
      <c r="J27" s="1"/>
      <c r="K27" s="1">
        <f>J27*AA27</f>
        <v>0</v>
      </c>
      <c r="L27" s="1">
        <v>4</v>
      </c>
      <c r="M27" s="1">
        <f>L27*AA27</f>
        <v>13.68</v>
      </c>
      <c r="N27" s="1"/>
      <c r="O27" s="1">
        <f>N27*AA27</f>
        <v>0</v>
      </c>
      <c r="P27" s="1"/>
      <c r="Q27" s="1"/>
      <c r="R27" s="1" t="s">
        <v>26</v>
      </c>
      <c r="S27" s="1"/>
      <c r="T27" s="1"/>
      <c r="U27" s="1"/>
      <c r="V27" s="1"/>
      <c r="W27" s="1"/>
      <c r="X27" s="1"/>
      <c r="Y27" s="1" t="s">
        <v>138</v>
      </c>
      <c r="Z27" s="1">
        <f>B27+D27+F27+H27+J27+L27+N27</f>
        <v>15.600000000000001</v>
      </c>
      <c r="AA27" s="1">
        <v>3.42</v>
      </c>
      <c r="AB27" s="2">
        <f>Z27*AA27</f>
        <v>53.352000000000004</v>
      </c>
      <c r="AC27" s="1"/>
      <c r="AD27" s="1">
        <v>5</v>
      </c>
    </row>
    <row r="28" spans="1:30" ht="12.75">
      <c r="A28" s="5">
        <v>42604</v>
      </c>
      <c r="B28" s="1"/>
      <c r="C28" s="1">
        <f>B28*AA28</f>
        <v>0</v>
      </c>
      <c r="D28" s="1">
        <f>3+1.9+1+1.9</f>
        <v>7.800000000000001</v>
      </c>
      <c r="E28" s="1">
        <f>D28*AA28</f>
        <v>26.676000000000002</v>
      </c>
      <c r="F28" s="1"/>
      <c r="G28" s="1">
        <f>F28*AA28</f>
        <v>0</v>
      </c>
      <c r="H28" s="1"/>
      <c r="I28" s="1">
        <f>H28*AA28</f>
        <v>0</v>
      </c>
      <c r="J28" s="1"/>
      <c r="K28" s="1">
        <f>J28*AA28</f>
        <v>0</v>
      </c>
      <c r="L28" s="1">
        <v>4</v>
      </c>
      <c r="M28" s="1">
        <f>L28*AA28</f>
        <v>13.68</v>
      </c>
      <c r="N28" s="1"/>
      <c r="O28" s="1">
        <f>N28*AA28</f>
        <v>0</v>
      </c>
      <c r="P28" s="1"/>
      <c r="Q28" s="1"/>
      <c r="R28" s="1" t="s">
        <v>26</v>
      </c>
      <c r="S28" s="1"/>
      <c r="T28" s="1"/>
      <c r="U28" s="1"/>
      <c r="V28" s="1"/>
      <c r="W28" s="1"/>
      <c r="X28" s="1"/>
      <c r="Y28" s="1" t="s">
        <v>138</v>
      </c>
      <c r="Z28" s="1">
        <f>B28+D28+F28+H28+J28+L28+N28</f>
        <v>11.8</v>
      </c>
      <c r="AA28" s="1">
        <v>3.42</v>
      </c>
      <c r="AB28" s="2">
        <f>Z28*AA28</f>
        <v>40.356</v>
      </c>
      <c r="AC28" s="1"/>
      <c r="AD28" s="1">
        <v>5</v>
      </c>
    </row>
    <row r="29" spans="1:30" ht="12.75">
      <c r="A29" s="5">
        <v>42605</v>
      </c>
      <c r="B29" s="1"/>
      <c r="C29" s="1">
        <f>B29*AA29</f>
        <v>0</v>
      </c>
      <c r="D29" s="1">
        <f>3.9+3.15</f>
        <v>7.05</v>
      </c>
      <c r="E29" s="1">
        <f>D29*AA29</f>
        <v>24.111</v>
      </c>
      <c r="F29" s="1"/>
      <c r="G29" s="1">
        <f>F29*AA29</f>
        <v>0</v>
      </c>
      <c r="H29" s="1"/>
      <c r="I29" s="1">
        <f>H29*AA29</f>
        <v>0</v>
      </c>
      <c r="J29" s="1"/>
      <c r="K29" s="1">
        <f>J29*AA29</f>
        <v>0</v>
      </c>
      <c r="L29" s="1">
        <v>4</v>
      </c>
      <c r="M29" s="1">
        <f>L29*AA29</f>
        <v>13.68</v>
      </c>
      <c r="N29" s="1"/>
      <c r="O29" s="1">
        <f>N29*AA29</f>
        <v>0</v>
      </c>
      <c r="P29" s="1"/>
      <c r="Q29" s="1"/>
      <c r="R29" s="1" t="s">
        <v>26</v>
      </c>
      <c r="S29" s="1"/>
      <c r="T29" s="1"/>
      <c r="U29" s="1"/>
      <c r="V29" s="1"/>
      <c r="W29" s="1"/>
      <c r="X29" s="1"/>
      <c r="Y29" s="1" t="s">
        <v>138</v>
      </c>
      <c r="Z29" s="1">
        <f>B29+D29+F29+H29+J29+L29+N29</f>
        <v>11.05</v>
      </c>
      <c r="AA29" s="1">
        <v>3.42</v>
      </c>
      <c r="AB29" s="2">
        <f>Z29*AA29</f>
        <v>37.791000000000004</v>
      </c>
      <c r="AC29" s="1"/>
      <c r="AD29" s="1">
        <v>5</v>
      </c>
    </row>
    <row r="30" spans="1:30" ht="12.75">
      <c r="A30" s="5">
        <v>42606</v>
      </c>
      <c r="B30" s="1"/>
      <c r="C30" s="1">
        <f>B30*AA30</f>
        <v>0</v>
      </c>
      <c r="D30" s="1">
        <f>1.6+1.65+0.3+1.5+5.75</f>
        <v>10.8</v>
      </c>
      <c r="E30" s="1">
        <f>D30*AA30</f>
        <v>36.936</v>
      </c>
      <c r="F30" s="1"/>
      <c r="G30" s="1">
        <f>F30*AA30</f>
        <v>0</v>
      </c>
      <c r="H30" s="1"/>
      <c r="I30" s="1">
        <f>H30*AA30</f>
        <v>0</v>
      </c>
      <c r="J30" s="1"/>
      <c r="K30" s="1">
        <f>J30*AA30</f>
        <v>0</v>
      </c>
      <c r="L30" s="1">
        <v>4</v>
      </c>
      <c r="M30" s="1">
        <f>L30*AA30</f>
        <v>13.68</v>
      </c>
      <c r="N30" s="1"/>
      <c r="O30" s="1">
        <f>N30*AA30</f>
        <v>0</v>
      </c>
      <c r="P30" s="1"/>
      <c r="Q30" s="1"/>
      <c r="R30" s="1" t="s">
        <v>26</v>
      </c>
      <c r="S30" s="1"/>
      <c r="T30" s="1"/>
      <c r="U30" s="1"/>
      <c r="V30" s="1"/>
      <c r="W30" s="1"/>
      <c r="X30" s="1"/>
      <c r="Y30" s="1" t="s">
        <v>138</v>
      </c>
      <c r="Z30" s="1">
        <f>B30+D30+F30+H30+J30+L30+N30</f>
        <v>14.8</v>
      </c>
      <c r="AA30" s="1">
        <v>3.42</v>
      </c>
      <c r="AB30" s="2">
        <f>Z30*AA30</f>
        <v>50.616</v>
      </c>
      <c r="AC30" s="1"/>
      <c r="AD30" s="1">
        <v>5</v>
      </c>
    </row>
    <row r="31" spans="1:30" ht="12.75">
      <c r="A31" s="5">
        <v>42607</v>
      </c>
      <c r="B31" s="1"/>
      <c r="C31" s="1">
        <f>B31*AA31</f>
        <v>0</v>
      </c>
      <c r="D31" s="1">
        <f>8.8+0.9+1.45+0.65</f>
        <v>11.8</v>
      </c>
      <c r="E31" s="1">
        <f>D31*AA31</f>
        <v>40.356</v>
      </c>
      <c r="F31" s="1"/>
      <c r="G31" s="1">
        <f>F31*AA31</f>
        <v>0</v>
      </c>
      <c r="H31" s="1"/>
      <c r="I31" s="1">
        <f>H31*AA31</f>
        <v>0</v>
      </c>
      <c r="J31" s="1">
        <f>2.25</f>
        <v>2.25</v>
      </c>
      <c r="K31" s="1">
        <f>J31*AA31</f>
        <v>7.695</v>
      </c>
      <c r="L31" s="1">
        <v>4</v>
      </c>
      <c r="M31" s="1">
        <f>L31*AA31</f>
        <v>13.68</v>
      </c>
      <c r="N31" s="1"/>
      <c r="O31" s="1">
        <f>N31*AA31</f>
        <v>0</v>
      </c>
      <c r="P31" s="1"/>
      <c r="Q31" s="1"/>
      <c r="R31" s="1" t="s">
        <v>26</v>
      </c>
      <c r="S31" s="1"/>
      <c r="T31" s="1"/>
      <c r="U31" s="1"/>
      <c r="V31" s="1"/>
      <c r="W31" s="1"/>
      <c r="X31" s="1"/>
      <c r="Y31" s="1" t="s">
        <v>138</v>
      </c>
      <c r="Z31" s="1">
        <f>B31+D31+F31+H31+J31+L31+N31</f>
        <v>18.05</v>
      </c>
      <c r="AA31" s="1">
        <v>3.42</v>
      </c>
      <c r="AB31" s="2">
        <f>Z31*AA31</f>
        <v>61.731</v>
      </c>
      <c r="AC31" s="1"/>
      <c r="AD31" s="1">
        <v>5</v>
      </c>
    </row>
    <row r="32" spans="1:30" ht="12.75">
      <c r="A32" s="5">
        <v>42608</v>
      </c>
      <c r="B32" s="1">
        <f>4+10+0.6</f>
        <v>14.6</v>
      </c>
      <c r="C32" s="1">
        <f>B32*AA32</f>
        <v>49.931999999999995</v>
      </c>
      <c r="D32" s="1">
        <f>4</f>
        <v>4</v>
      </c>
      <c r="E32" s="1">
        <f>D32*AA32</f>
        <v>13.68</v>
      </c>
      <c r="F32" s="1">
        <v>4</v>
      </c>
      <c r="G32" s="1">
        <f>F32*AA32</f>
        <v>13.68</v>
      </c>
      <c r="H32" s="1"/>
      <c r="I32" s="1">
        <f>H32*AA32</f>
        <v>0</v>
      </c>
      <c r="J32" s="1"/>
      <c r="K32" s="1">
        <f>J32*AA32</f>
        <v>0</v>
      </c>
      <c r="L32" s="1">
        <v>12</v>
      </c>
      <c r="M32" s="1">
        <f>L32*AA32</f>
        <v>41.04</v>
      </c>
      <c r="N32" s="1"/>
      <c r="O32" s="1">
        <f>N32*AA32</f>
        <v>0</v>
      </c>
      <c r="P32" s="1"/>
      <c r="Q32" s="1"/>
      <c r="R32" s="1" t="s">
        <v>26</v>
      </c>
      <c r="S32" s="1"/>
      <c r="T32" s="1"/>
      <c r="U32" s="1"/>
      <c r="V32" s="1"/>
      <c r="W32" s="1"/>
      <c r="X32" s="1">
        <v>1</v>
      </c>
      <c r="Y32" s="1" t="s">
        <v>141</v>
      </c>
      <c r="Z32" s="1">
        <f>B32+D32+F32+H32+J32+L32+N32</f>
        <v>34.6</v>
      </c>
      <c r="AA32" s="1">
        <v>3.42</v>
      </c>
      <c r="AB32" s="2">
        <f>Z32*AA32</f>
        <v>118.33200000000001</v>
      </c>
      <c r="AC32" s="1"/>
      <c r="AD32" s="1">
        <v>5</v>
      </c>
    </row>
    <row r="33" spans="1:30" ht="12.75">
      <c r="A33" s="5">
        <v>42609</v>
      </c>
      <c r="B33" s="1"/>
      <c r="C33" s="1">
        <f>B33*AA33</f>
        <v>0</v>
      </c>
      <c r="D33" s="1">
        <v>0.75</v>
      </c>
      <c r="E33" s="1">
        <f>D33*AA33</f>
        <v>2.565</v>
      </c>
      <c r="F33" s="1">
        <f>4+5</f>
        <v>9</v>
      </c>
      <c r="G33" s="1">
        <f>F33*AA33</f>
        <v>30.78</v>
      </c>
      <c r="H33" s="1"/>
      <c r="I33" s="1">
        <f>H33*AA33</f>
        <v>0</v>
      </c>
      <c r="J33" s="1">
        <v>5</v>
      </c>
      <c r="K33" s="1">
        <f>J33*AA33</f>
        <v>17.1</v>
      </c>
      <c r="L33" s="1">
        <v>12</v>
      </c>
      <c r="M33" s="1">
        <f>L33*AA33</f>
        <v>41.04</v>
      </c>
      <c r="N33" s="1"/>
      <c r="O33" s="1">
        <f>N33*AA33</f>
        <v>0</v>
      </c>
      <c r="P33" s="1"/>
      <c r="Q33" s="1"/>
      <c r="R33" s="1" t="s">
        <v>26</v>
      </c>
      <c r="S33" s="1"/>
      <c r="T33" s="1"/>
      <c r="U33" s="1"/>
      <c r="V33" s="1"/>
      <c r="W33" s="1"/>
      <c r="X33" s="1"/>
      <c r="Y33" s="1" t="s">
        <v>142</v>
      </c>
      <c r="Z33" s="1">
        <f>B33+D33+F33+H33+J33+L33+N33</f>
        <v>26.75</v>
      </c>
      <c r="AA33" s="1">
        <v>3.42</v>
      </c>
      <c r="AB33" s="2">
        <f>Z33*AA33</f>
        <v>91.485</v>
      </c>
      <c r="AC33" s="1"/>
      <c r="AD33" s="1">
        <v>5</v>
      </c>
    </row>
    <row r="34" spans="1:30" ht="12.75">
      <c r="A34" s="5">
        <v>42610</v>
      </c>
      <c r="B34" s="1">
        <f>4+1.25+1+0.3</f>
        <v>6.55</v>
      </c>
      <c r="C34" s="1">
        <f>B34*AA34</f>
        <v>22.401</v>
      </c>
      <c r="D34" s="1">
        <f>8.6+2+1.27</f>
        <v>11.87</v>
      </c>
      <c r="E34" s="1">
        <f>D34*AA34</f>
        <v>40.5954</v>
      </c>
      <c r="F34" s="1">
        <v>5</v>
      </c>
      <c r="G34" s="1">
        <f>F34*AA34</f>
        <v>17.1</v>
      </c>
      <c r="H34" s="1"/>
      <c r="I34" s="1">
        <f>H34*AA34</f>
        <v>0</v>
      </c>
      <c r="J34" s="1"/>
      <c r="K34" s="1">
        <f>J34*AA34</f>
        <v>0</v>
      </c>
      <c r="L34" s="1"/>
      <c r="M34" s="1">
        <f>L34*AA34</f>
        <v>0</v>
      </c>
      <c r="N34" s="1"/>
      <c r="O34" s="1">
        <f>N34*AA34</f>
        <v>0</v>
      </c>
      <c r="P34" s="1"/>
      <c r="Q34" s="1"/>
      <c r="R34" s="1" t="s">
        <v>26</v>
      </c>
      <c r="S34" s="1"/>
      <c r="T34" s="1"/>
      <c r="U34" s="1"/>
      <c r="V34" s="1"/>
      <c r="W34" s="1"/>
      <c r="X34" s="1"/>
      <c r="Y34" s="1" t="s">
        <v>143</v>
      </c>
      <c r="Z34" s="1">
        <f>B34+D34+F34+H34+J34+L34+N34</f>
        <v>23.419999999999998</v>
      </c>
      <c r="AA34" s="1">
        <v>3.42</v>
      </c>
      <c r="AB34" s="2">
        <f>Z34*AA34</f>
        <v>80.09639999999999</v>
      </c>
      <c r="AC34" s="1"/>
      <c r="AD34" s="1">
        <v>5</v>
      </c>
    </row>
    <row r="35" spans="1:30" ht="12.75">
      <c r="A35" s="5">
        <v>42611</v>
      </c>
      <c r="B35" s="1">
        <v>2</v>
      </c>
      <c r="C35" s="1">
        <f>B35*AA35</f>
        <v>6.84</v>
      </c>
      <c r="D35" s="1">
        <f>1+2.52</f>
        <v>3.52</v>
      </c>
      <c r="E35" s="1">
        <f>D35*AA35</f>
        <v>12.0384</v>
      </c>
      <c r="F35" s="1"/>
      <c r="G35" s="1">
        <f>F35*AA35</f>
        <v>0</v>
      </c>
      <c r="H35" s="1">
        <v>2</v>
      </c>
      <c r="I35" s="1">
        <f>H35*AA35</f>
        <v>6.84</v>
      </c>
      <c r="J35" s="1"/>
      <c r="K35" s="1">
        <f>J35*AA35</f>
        <v>0</v>
      </c>
      <c r="L35" s="1"/>
      <c r="M35" s="1">
        <f>L35*AA35</f>
        <v>0</v>
      </c>
      <c r="N35" s="1"/>
      <c r="O35" s="1">
        <f>N35*AA35</f>
        <v>0</v>
      </c>
      <c r="P35" s="1"/>
      <c r="Q35" s="1"/>
      <c r="R35" s="1" t="s">
        <v>26</v>
      </c>
      <c r="S35" s="1"/>
      <c r="T35" s="1"/>
      <c r="U35" s="1"/>
      <c r="V35" s="1"/>
      <c r="W35" s="1"/>
      <c r="X35" s="1"/>
      <c r="Y35" s="1" t="s">
        <v>144</v>
      </c>
      <c r="Z35" s="1">
        <f>B35+D35+F35+H35+J35+L35+N35</f>
        <v>7.52</v>
      </c>
      <c r="AA35" s="1">
        <v>3.42</v>
      </c>
      <c r="AB35" s="2">
        <f>Z35*AA35</f>
        <v>25.7184</v>
      </c>
      <c r="AC35" s="1"/>
      <c r="AD35" s="1">
        <v>5</v>
      </c>
    </row>
    <row r="36" spans="1:30" ht="12.75">
      <c r="A36" s="5">
        <v>42612</v>
      </c>
      <c r="B36" s="1">
        <f>1+1</f>
        <v>2</v>
      </c>
      <c r="C36" s="1">
        <f>B36*AA36</f>
        <v>6.84</v>
      </c>
      <c r="D36" s="1">
        <f>1+12.26</f>
        <v>13.26</v>
      </c>
      <c r="E36" s="1">
        <f>D36*AA36</f>
        <v>45.349199999999996</v>
      </c>
      <c r="F36" s="1"/>
      <c r="G36" s="1">
        <f>F36*AA36</f>
        <v>0</v>
      </c>
      <c r="H36" s="1"/>
      <c r="I36" s="1">
        <f>H36*AA36</f>
        <v>0</v>
      </c>
      <c r="J36" s="1"/>
      <c r="K36" s="1">
        <f>J36*AA36</f>
        <v>0</v>
      </c>
      <c r="L36" s="1"/>
      <c r="M36" s="1">
        <f>L36*AA36</f>
        <v>0</v>
      </c>
      <c r="N36" s="1"/>
      <c r="O36" s="1">
        <f>N36*AA36</f>
        <v>0</v>
      </c>
      <c r="P36" s="1"/>
      <c r="Q36" s="1"/>
      <c r="R36" s="1" t="s">
        <v>26</v>
      </c>
      <c r="S36" s="1"/>
      <c r="T36" s="1"/>
      <c r="U36" s="1"/>
      <c r="V36" s="1"/>
      <c r="W36" s="1"/>
      <c r="X36" s="1"/>
      <c r="Y36" s="1" t="s">
        <v>144</v>
      </c>
      <c r="Z36" s="1">
        <f>B36+D36+F36+H36+J36+L36+N36</f>
        <v>15.26</v>
      </c>
      <c r="AA36" s="1">
        <v>3.42</v>
      </c>
      <c r="AB36" s="2">
        <f>Z36*AA36</f>
        <v>52.1892</v>
      </c>
      <c r="AC36" s="1"/>
      <c r="AD36" s="1">
        <v>5</v>
      </c>
    </row>
    <row r="37" spans="1:30" ht="12.75">
      <c r="A37" s="5">
        <v>42613</v>
      </c>
      <c r="B37" s="1"/>
      <c r="C37" s="1">
        <f>B37*AA37</f>
        <v>0</v>
      </c>
      <c r="D37" s="1">
        <v>2.62</v>
      </c>
      <c r="E37" s="1">
        <f>D37*AA37</f>
        <v>8.9604</v>
      </c>
      <c r="F37" s="1"/>
      <c r="G37" s="1">
        <f>F37*AA37</f>
        <v>0</v>
      </c>
      <c r="H37" s="1"/>
      <c r="I37" s="1">
        <f>H37*AA37</f>
        <v>0</v>
      </c>
      <c r="J37" s="1"/>
      <c r="K37" s="1">
        <f>J37*AA37</f>
        <v>0</v>
      </c>
      <c r="L37" s="1"/>
      <c r="M37" s="1">
        <f>L37*AA37</f>
        <v>0</v>
      </c>
      <c r="N37" s="1"/>
      <c r="O37" s="1">
        <f>N37*AA37</f>
        <v>0</v>
      </c>
      <c r="P37" s="1"/>
      <c r="Q37" s="1"/>
      <c r="R37" s="1" t="s">
        <v>26</v>
      </c>
      <c r="S37" s="1"/>
      <c r="T37" s="1"/>
      <c r="U37" s="1"/>
      <c r="V37" s="1"/>
      <c r="W37" s="1"/>
      <c r="X37" s="1"/>
      <c r="Y37" s="1" t="s">
        <v>144</v>
      </c>
      <c r="Z37" s="1">
        <f>B37+D37+F37+H37+J37+L37+N37</f>
        <v>2.62</v>
      </c>
      <c r="AA37" s="1">
        <v>3.42</v>
      </c>
      <c r="AB37" s="2">
        <f>Z37*AA37</f>
        <v>8.9604</v>
      </c>
      <c r="AC37" s="1"/>
      <c r="AD37" s="1">
        <v>5</v>
      </c>
    </row>
    <row r="38" spans="1:30" ht="12.75">
      <c r="A38" s="5">
        <v>42614</v>
      </c>
      <c r="B38" s="1"/>
      <c r="C38" s="1">
        <f>B38*AA38</f>
        <v>0</v>
      </c>
      <c r="D38" s="1">
        <f>4.08</f>
        <v>4.08</v>
      </c>
      <c r="E38" s="1">
        <f>D38*AA38</f>
        <v>13.9536</v>
      </c>
      <c r="F38" s="1"/>
      <c r="G38" s="1">
        <f>F38*AA38</f>
        <v>0</v>
      </c>
      <c r="H38" s="1"/>
      <c r="I38" s="1">
        <f>H38*AA38</f>
        <v>0</v>
      </c>
      <c r="J38" s="1"/>
      <c r="K38" s="1">
        <f>J38*AA38</f>
        <v>0</v>
      </c>
      <c r="L38" s="1"/>
      <c r="M38" s="1">
        <f>L38*AA38</f>
        <v>0</v>
      </c>
      <c r="N38" s="1"/>
      <c r="O38" s="1">
        <f>N38*AA38</f>
        <v>0</v>
      </c>
      <c r="P38" s="1"/>
      <c r="Q38" s="1"/>
      <c r="R38" s="1" t="s">
        <v>26</v>
      </c>
      <c r="S38" s="1"/>
      <c r="T38" s="1"/>
      <c r="U38" s="1"/>
      <c r="V38" s="1"/>
      <c r="W38" s="1"/>
      <c r="X38" s="1"/>
      <c r="Y38" s="1" t="s">
        <v>144</v>
      </c>
      <c r="Z38" s="1">
        <f>B38+D38+F38+H38+J38+L38+N38</f>
        <v>4.08</v>
      </c>
      <c r="AA38" s="1">
        <v>3.42</v>
      </c>
      <c r="AB38" s="2">
        <f>Z38*AA38</f>
        <v>13.9536</v>
      </c>
      <c r="AC38" s="1"/>
      <c r="AD38" s="1">
        <v>5</v>
      </c>
    </row>
    <row r="39" spans="1:30" ht="12.75">
      <c r="A39" s="5">
        <v>42615</v>
      </c>
      <c r="B39" s="1">
        <f>1+1+0.5</f>
        <v>2.5</v>
      </c>
      <c r="C39" s="1">
        <f>B39*AA39</f>
        <v>8.55</v>
      </c>
      <c r="D39" s="1">
        <f>1+4.62</f>
        <v>5.62</v>
      </c>
      <c r="E39" s="1">
        <f>D39*AA39</f>
        <v>19.2204</v>
      </c>
      <c r="F39" s="1"/>
      <c r="G39" s="1">
        <f>F39*AA39</f>
        <v>0</v>
      </c>
      <c r="H39" s="1">
        <f>3+7</f>
        <v>10</v>
      </c>
      <c r="I39" s="1">
        <f>H39*AA39</f>
        <v>34.2</v>
      </c>
      <c r="J39" s="1"/>
      <c r="K39" s="1">
        <f>J39*AA39</f>
        <v>0</v>
      </c>
      <c r="L39" s="1"/>
      <c r="M39" s="1">
        <f>L39*AA39</f>
        <v>0</v>
      </c>
      <c r="N39" s="1"/>
      <c r="O39" s="1">
        <f>N39*AA39</f>
        <v>0</v>
      </c>
      <c r="P39" s="1"/>
      <c r="Q39" s="1"/>
      <c r="R39" s="1" t="s">
        <v>26</v>
      </c>
      <c r="S39" s="1"/>
      <c r="T39" s="1"/>
      <c r="U39" s="1"/>
      <c r="V39" s="1"/>
      <c r="W39" s="1"/>
      <c r="X39" s="1"/>
      <c r="Y39" s="1" t="s">
        <v>144</v>
      </c>
      <c r="Z39" s="1">
        <f>B39+D39+F39+H39+J39+L39+N39</f>
        <v>18.12</v>
      </c>
      <c r="AA39" s="1">
        <v>3.42</v>
      </c>
      <c r="AB39" s="2">
        <f>Z39*AA39</f>
        <v>61.970400000000005</v>
      </c>
      <c r="AC39" s="1"/>
      <c r="AD39" s="1">
        <v>5</v>
      </c>
    </row>
    <row r="40" spans="1:30" ht="12.75">
      <c r="A40" s="5">
        <v>42616</v>
      </c>
      <c r="B40" s="1"/>
      <c r="C40" s="1">
        <f>B40*AA40</f>
        <v>0</v>
      </c>
      <c r="D40" s="1">
        <f>4.17+0.65+1.2+0.9</f>
        <v>6.920000000000001</v>
      </c>
      <c r="E40" s="1">
        <f>D40*AA40</f>
        <v>23.666400000000003</v>
      </c>
      <c r="F40" s="1"/>
      <c r="G40" s="1">
        <f>F40*AA40</f>
        <v>0</v>
      </c>
      <c r="H40" s="1"/>
      <c r="I40" s="1">
        <f>H40*AA40</f>
        <v>0</v>
      </c>
      <c r="J40" s="1"/>
      <c r="K40" s="1">
        <f>J40*AA40</f>
        <v>0</v>
      </c>
      <c r="L40" s="1"/>
      <c r="M40" s="1">
        <f>L40*AA40</f>
        <v>0</v>
      </c>
      <c r="N40" s="1"/>
      <c r="O40" s="1">
        <f>N40*AA40</f>
        <v>0</v>
      </c>
      <c r="P40" s="1"/>
      <c r="Q40" s="1"/>
      <c r="R40" s="1" t="s">
        <v>26</v>
      </c>
      <c r="S40" s="1"/>
      <c r="T40" s="1"/>
      <c r="U40" s="1"/>
      <c r="V40" s="1"/>
      <c r="W40" s="1"/>
      <c r="X40" s="1"/>
      <c r="Y40" s="1" t="s">
        <v>144</v>
      </c>
      <c r="Z40" s="1">
        <f>B40+D40+F40+H40+J40+L40+N40</f>
        <v>6.920000000000001</v>
      </c>
      <c r="AA40" s="1">
        <v>3.42</v>
      </c>
      <c r="AB40" s="2">
        <f>Z40*AA40</f>
        <v>23.666400000000003</v>
      </c>
      <c r="AC40" s="1"/>
      <c r="AD40" s="1">
        <v>5</v>
      </c>
    </row>
    <row r="41" spans="1:30" ht="12.75">
      <c r="A41" s="5">
        <v>42617</v>
      </c>
      <c r="B41" s="1"/>
      <c r="C41" s="1">
        <f>B41*AA41</f>
        <v>0</v>
      </c>
      <c r="D41" s="1">
        <f>1.55+4.14</f>
        <v>5.6899999999999995</v>
      </c>
      <c r="E41" s="1">
        <f>D41*AA41</f>
        <v>19.459799999999998</v>
      </c>
      <c r="F41" s="1"/>
      <c r="G41" s="1">
        <f>F41*AA41</f>
        <v>0</v>
      </c>
      <c r="H41" s="1"/>
      <c r="I41" s="1">
        <f>H41*AA41</f>
        <v>0</v>
      </c>
      <c r="J41" s="1"/>
      <c r="K41" s="1">
        <f>J41*AA41</f>
        <v>0</v>
      </c>
      <c r="L41" s="1"/>
      <c r="M41" s="1">
        <f>L41*AA41</f>
        <v>0</v>
      </c>
      <c r="N41" s="1"/>
      <c r="O41" s="1">
        <f>N41*AA41</f>
        <v>0</v>
      </c>
      <c r="P41" s="1"/>
      <c r="Q41" s="1"/>
      <c r="R41" s="1" t="s">
        <v>26</v>
      </c>
      <c r="S41" s="1"/>
      <c r="T41" s="1"/>
      <c r="U41" s="1"/>
      <c r="V41" s="1"/>
      <c r="W41" s="1"/>
      <c r="X41" s="1"/>
      <c r="Y41" s="1" t="s">
        <v>144</v>
      </c>
      <c r="Z41" s="1">
        <f>B41+D41+F41+H41+J41+L41+N41</f>
        <v>5.6899999999999995</v>
      </c>
      <c r="AA41" s="1">
        <v>3.42</v>
      </c>
      <c r="AB41" s="2">
        <f>Z41*AA41</f>
        <v>19.459799999999998</v>
      </c>
      <c r="AC41" s="1"/>
      <c r="AD41" s="1">
        <v>5</v>
      </c>
    </row>
    <row r="42" spans="1:30" ht="12.75">
      <c r="A42" s="5">
        <v>42618</v>
      </c>
      <c r="B42" s="1">
        <f>2.2+3+0.9</f>
        <v>6.1000000000000005</v>
      </c>
      <c r="C42" s="1">
        <f>B42*AA42</f>
        <v>20.862000000000002</v>
      </c>
      <c r="D42" s="1">
        <f>2.71+1</f>
        <v>3.71</v>
      </c>
      <c r="E42" s="1">
        <f>D42*AA42</f>
        <v>12.6882</v>
      </c>
      <c r="F42" s="1">
        <v>4.5</v>
      </c>
      <c r="G42" s="1">
        <f>F42*AA42</f>
        <v>15.39</v>
      </c>
      <c r="H42" s="1"/>
      <c r="I42" s="1">
        <f>H42*AA42</f>
        <v>0</v>
      </c>
      <c r="J42" s="1"/>
      <c r="K42" s="1">
        <f>J42*AA42</f>
        <v>0</v>
      </c>
      <c r="L42" s="1"/>
      <c r="M42" s="1">
        <f>L42*AA42</f>
        <v>0</v>
      </c>
      <c r="N42" s="1"/>
      <c r="O42" s="1">
        <f>N42*AA42</f>
        <v>0</v>
      </c>
      <c r="P42" s="1"/>
      <c r="Q42" s="1"/>
      <c r="R42" s="1" t="s">
        <v>26</v>
      </c>
      <c r="S42" s="1"/>
      <c r="T42" s="1"/>
      <c r="U42" s="1"/>
      <c r="V42" s="1"/>
      <c r="W42" s="1"/>
      <c r="X42" s="1"/>
      <c r="Y42" s="1" t="s">
        <v>145</v>
      </c>
      <c r="Z42" s="1">
        <f>B42+D42+F42+H42+J42+L42+N42</f>
        <v>14.31</v>
      </c>
      <c r="AA42" s="1">
        <v>3.42</v>
      </c>
      <c r="AB42" s="2">
        <f>Z42*AA42</f>
        <v>48.9402</v>
      </c>
      <c r="AC42" s="1"/>
      <c r="AD42" s="1">
        <v>5</v>
      </c>
    </row>
    <row r="43" spans="1:30" ht="12.75">
      <c r="A43" s="5">
        <v>42619</v>
      </c>
      <c r="B43" s="1">
        <f>5+5</f>
        <v>10</v>
      </c>
      <c r="C43" s="1">
        <f>B43*AA43</f>
        <v>34.2</v>
      </c>
      <c r="D43" s="1">
        <f>1.3+0.5+3.82</f>
        <v>5.62</v>
      </c>
      <c r="E43" s="1">
        <f>D43*AA43</f>
        <v>19.2204</v>
      </c>
      <c r="F43" s="1">
        <v>4</v>
      </c>
      <c r="G43" s="1">
        <f>F43*AA43</f>
        <v>13.68</v>
      </c>
      <c r="H43" s="1">
        <v>4</v>
      </c>
      <c r="I43" s="1">
        <f>H43*AA43</f>
        <v>13.68</v>
      </c>
      <c r="J43" s="1"/>
      <c r="K43" s="1">
        <f>J43*AA43</f>
        <v>0</v>
      </c>
      <c r="L43" s="1"/>
      <c r="M43" s="1">
        <f>L43*AA43</f>
        <v>0</v>
      </c>
      <c r="N43" s="1"/>
      <c r="O43" s="1">
        <f>N43*AA43</f>
        <v>0</v>
      </c>
      <c r="P43" s="1"/>
      <c r="Q43" s="1"/>
      <c r="R43" s="1" t="s">
        <v>26</v>
      </c>
      <c r="S43" s="1"/>
      <c r="T43" s="1"/>
      <c r="U43" s="1"/>
      <c r="V43" s="1"/>
      <c r="W43" s="1"/>
      <c r="X43" s="1"/>
      <c r="Y43" s="1" t="s">
        <v>146</v>
      </c>
      <c r="Z43" s="1">
        <f>B43+D43+F43+H43+J43+L43+N43</f>
        <v>23.62</v>
      </c>
      <c r="AA43" s="1">
        <v>3.42</v>
      </c>
      <c r="AB43" s="2">
        <f>Z43*AA43</f>
        <v>80.7804</v>
      </c>
      <c r="AC43" s="1"/>
      <c r="AD43" s="1">
        <v>5</v>
      </c>
    </row>
    <row r="44" spans="1:30" ht="12.75">
      <c r="A44" s="5">
        <v>42620</v>
      </c>
      <c r="B44" s="1"/>
      <c r="C44" s="1">
        <f>B44*AA44</f>
        <v>0</v>
      </c>
      <c r="D44" s="1">
        <f>2.45+0.5</f>
        <v>2.95</v>
      </c>
      <c r="E44" s="1">
        <f>D44*AA44</f>
        <v>10.089</v>
      </c>
      <c r="F44" s="1">
        <v>4</v>
      </c>
      <c r="G44" s="1">
        <f>F44*AA44</f>
        <v>13.68</v>
      </c>
      <c r="H44" s="1"/>
      <c r="I44" s="1">
        <f>H44*AA44</f>
        <v>0</v>
      </c>
      <c r="J44" s="1"/>
      <c r="K44" s="1">
        <f>J44*AA44</f>
        <v>0</v>
      </c>
      <c r="L44" s="1"/>
      <c r="M44" s="1">
        <f>L44*AA44</f>
        <v>0</v>
      </c>
      <c r="N44" s="1"/>
      <c r="O44" s="1">
        <f>N44*AA44</f>
        <v>0</v>
      </c>
      <c r="P44" s="1"/>
      <c r="Q44" s="1"/>
      <c r="R44" s="1" t="s">
        <v>26</v>
      </c>
      <c r="S44" s="1"/>
      <c r="T44" s="1"/>
      <c r="U44" s="1"/>
      <c r="V44" s="1"/>
      <c r="W44" s="1"/>
      <c r="X44" s="1"/>
      <c r="Y44" s="1" t="s">
        <v>146</v>
      </c>
      <c r="Z44" s="1">
        <f>B44+D44+F44+H44+J44+L44+N44</f>
        <v>6.95</v>
      </c>
      <c r="AA44" s="1">
        <v>3.42</v>
      </c>
      <c r="AB44" s="2">
        <f>Z44*AA44</f>
        <v>23.769</v>
      </c>
      <c r="AC44" s="1"/>
      <c r="AD44" s="1">
        <v>5</v>
      </c>
    </row>
    <row r="45" spans="1:30" ht="12.75">
      <c r="A45" s="5">
        <v>42621</v>
      </c>
      <c r="B45" s="1">
        <f>4.3+0.6</f>
        <v>4.9</v>
      </c>
      <c r="C45" s="1">
        <f>B45*AA45</f>
        <v>16.758</v>
      </c>
      <c r="D45" s="1">
        <v>4.46</v>
      </c>
      <c r="E45" s="1">
        <f>D45*AA45</f>
        <v>15.2532</v>
      </c>
      <c r="F45" s="1"/>
      <c r="G45" s="1">
        <f>F45*AA45</f>
        <v>0</v>
      </c>
      <c r="H45" s="1"/>
      <c r="I45" s="1">
        <f>H45*AA45</f>
        <v>0</v>
      </c>
      <c r="J45" s="1">
        <v>3.5</v>
      </c>
      <c r="K45" s="1">
        <f>J45*AA45</f>
        <v>11.969999999999999</v>
      </c>
      <c r="L45" s="1">
        <v>15</v>
      </c>
      <c r="M45" s="1">
        <f>L45*AA45</f>
        <v>51.3</v>
      </c>
      <c r="N45" s="1"/>
      <c r="O45" s="1">
        <f>N45*AA45</f>
        <v>0</v>
      </c>
      <c r="P45" s="1"/>
      <c r="Q45" s="1"/>
      <c r="R45" s="1" t="s">
        <v>26</v>
      </c>
      <c r="S45" s="1"/>
      <c r="T45" s="1"/>
      <c r="U45" s="1"/>
      <c r="V45" s="1"/>
      <c r="W45" s="1"/>
      <c r="X45" s="1"/>
      <c r="Y45" s="1" t="s">
        <v>147</v>
      </c>
      <c r="Z45" s="1">
        <f>B45+D45+F45+H45+J45+L45+N45</f>
        <v>27.86</v>
      </c>
      <c r="AA45" s="1">
        <v>3.42</v>
      </c>
      <c r="AB45" s="2">
        <f>Z45*AA45</f>
        <v>95.2812</v>
      </c>
      <c r="AC45" s="1"/>
      <c r="AD45" s="1">
        <v>5</v>
      </c>
    </row>
    <row r="46" spans="1:30" ht="12.75">
      <c r="A46" s="5">
        <v>42622</v>
      </c>
      <c r="B46" s="1"/>
      <c r="C46" s="1">
        <f>B46*AA46</f>
        <v>0</v>
      </c>
      <c r="D46" s="1">
        <v>7.52</v>
      </c>
      <c r="E46" s="1">
        <f>D46*AA46</f>
        <v>25.7184</v>
      </c>
      <c r="F46" s="1"/>
      <c r="G46" s="1">
        <f>F46*AA46</f>
        <v>0</v>
      </c>
      <c r="H46" s="1"/>
      <c r="I46" s="1">
        <f>H46*AA46</f>
        <v>0</v>
      </c>
      <c r="J46" s="1"/>
      <c r="K46" s="1">
        <f>J46*AA46</f>
        <v>0</v>
      </c>
      <c r="L46" s="1">
        <v>15</v>
      </c>
      <c r="M46" s="1">
        <f>L46*AA46</f>
        <v>51.3</v>
      </c>
      <c r="N46" s="1"/>
      <c r="O46" s="1">
        <f>N46*AA46</f>
        <v>0</v>
      </c>
      <c r="P46" s="1"/>
      <c r="Q46" s="1"/>
      <c r="R46" s="1" t="s">
        <v>26</v>
      </c>
      <c r="S46" s="1"/>
      <c r="T46" s="1"/>
      <c r="U46" s="1"/>
      <c r="V46" s="1"/>
      <c r="W46" s="1"/>
      <c r="X46" s="1"/>
      <c r="Y46" s="1" t="s">
        <v>148</v>
      </c>
      <c r="Z46" s="1">
        <f>B46+D46+F46+H46+J46+L46+N46</f>
        <v>22.52</v>
      </c>
      <c r="AA46" s="1">
        <v>3.42</v>
      </c>
      <c r="AB46" s="2">
        <f>Z46*AA46</f>
        <v>77.0184</v>
      </c>
      <c r="AC46" s="1"/>
      <c r="AD46" s="1">
        <v>5</v>
      </c>
    </row>
    <row r="47" spans="1:30" ht="12.75">
      <c r="A47" s="5">
        <v>42623</v>
      </c>
      <c r="B47" s="1">
        <v>0.5</v>
      </c>
      <c r="C47" s="1">
        <f>B47*AA47</f>
        <v>1.71</v>
      </c>
      <c r="D47" s="1">
        <f>6.6+1.35</f>
        <v>7.949999999999999</v>
      </c>
      <c r="E47" s="1">
        <f>D47*AA47</f>
        <v>27.188999999999997</v>
      </c>
      <c r="F47" s="1">
        <v>5</v>
      </c>
      <c r="G47" s="1">
        <f>F47*AA47</f>
        <v>17.1</v>
      </c>
      <c r="H47" s="1"/>
      <c r="I47" s="1">
        <f>H47*AA47</f>
        <v>0</v>
      </c>
      <c r="J47" s="1">
        <v>3</v>
      </c>
      <c r="K47" s="1">
        <f>J47*AA47</f>
        <v>10.26</v>
      </c>
      <c r="L47" s="1">
        <v>15</v>
      </c>
      <c r="M47" s="1">
        <f>L47*AA47</f>
        <v>51.3</v>
      </c>
      <c r="N47" s="1"/>
      <c r="O47" s="1">
        <f>N47*AA47</f>
        <v>0</v>
      </c>
      <c r="P47" s="1"/>
      <c r="Q47" s="1"/>
      <c r="R47" s="1" t="s">
        <v>26</v>
      </c>
      <c r="S47" s="1"/>
      <c r="T47" s="1"/>
      <c r="U47" s="1"/>
      <c r="V47" s="1"/>
      <c r="W47" s="1"/>
      <c r="X47" s="1"/>
      <c r="Y47" s="1" t="s">
        <v>148</v>
      </c>
      <c r="Z47" s="1">
        <f>B47+D47+F47+H47+J47+L47+N47</f>
        <v>31.45</v>
      </c>
      <c r="AA47" s="1">
        <v>3.42</v>
      </c>
      <c r="AB47" s="2">
        <f>Z47*AA47</f>
        <v>107.559</v>
      </c>
      <c r="AC47" s="1"/>
      <c r="AD47" s="1">
        <v>5</v>
      </c>
    </row>
    <row r="48" spans="1:30" ht="12.75">
      <c r="A48" s="5">
        <v>42624</v>
      </c>
      <c r="B48" s="1"/>
      <c r="C48" s="1">
        <f>B48*AA48</f>
        <v>0</v>
      </c>
      <c r="D48" s="1"/>
      <c r="E48" s="1">
        <f>D48*AA48</f>
        <v>0</v>
      </c>
      <c r="F48" s="1">
        <v>6.98</v>
      </c>
      <c r="G48" s="1">
        <f>F48*AA48</f>
        <v>23.8716</v>
      </c>
      <c r="H48" s="1"/>
      <c r="I48" s="1">
        <f>H48*AA48</f>
        <v>0</v>
      </c>
      <c r="J48" s="1"/>
      <c r="K48" s="1">
        <f>J48*AA48</f>
        <v>0</v>
      </c>
      <c r="L48" s="1"/>
      <c r="M48" s="1">
        <f>L48*AA48</f>
        <v>0</v>
      </c>
      <c r="N48" s="1"/>
      <c r="O48" s="1">
        <f>N48*AA48</f>
        <v>0</v>
      </c>
      <c r="P48" s="1"/>
      <c r="Q48" s="1"/>
      <c r="R48" s="1" t="s">
        <v>26</v>
      </c>
      <c r="S48" s="1"/>
      <c r="T48" s="1"/>
      <c r="U48" s="1"/>
      <c r="V48" s="1"/>
      <c r="W48" s="1"/>
      <c r="X48" s="1"/>
      <c r="Y48" s="1" t="s">
        <v>148</v>
      </c>
      <c r="Z48" s="1">
        <f>B48+D48+F48+H48+J48+L48+N48</f>
        <v>6.98</v>
      </c>
      <c r="AA48" s="1">
        <v>3.42</v>
      </c>
      <c r="AB48" s="2">
        <f>Z48*AA48</f>
        <v>23.8716</v>
      </c>
      <c r="AC48" s="1"/>
      <c r="AD48" s="1">
        <v>5</v>
      </c>
    </row>
    <row r="49" spans="1:30" ht="12.75">
      <c r="A49" s="5">
        <v>42625</v>
      </c>
      <c r="B49" s="1"/>
      <c r="C49" s="1">
        <f>B49*AA49</f>
        <v>0</v>
      </c>
      <c r="D49" s="1">
        <f>2.24+3.37+0.5</f>
        <v>6.11</v>
      </c>
      <c r="E49" s="1">
        <f>D49*AA49</f>
        <v>21.323900000000002</v>
      </c>
      <c r="F49" s="1">
        <v>5</v>
      </c>
      <c r="G49" s="1">
        <f>F49*AA49</f>
        <v>17.450000000000003</v>
      </c>
      <c r="H49" s="1"/>
      <c r="I49" s="1">
        <f>H49*AA49</f>
        <v>0</v>
      </c>
      <c r="J49" s="1"/>
      <c r="K49" s="1">
        <f>J49*AA49</f>
        <v>0</v>
      </c>
      <c r="L49" s="1"/>
      <c r="M49" s="1">
        <f>L49*AA49</f>
        <v>0</v>
      </c>
      <c r="N49" s="1"/>
      <c r="O49" s="1">
        <f>N49*AA49</f>
        <v>0</v>
      </c>
      <c r="P49" s="1"/>
      <c r="Q49" s="1"/>
      <c r="R49" s="1" t="s">
        <v>26</v>
      </c>
      <c r="S49" s="1"/>
      <c r="T49" s="1"/>
      <c r="U49" s="1"/>
      <c r="V49" s="1"/>
      <c r="W49" s="1"/>
      <c r="X49" s="1"/>
      <c r="Y49" s="1" t="s">
        <v>148</v>
      </c>
      <c r="Z49" s="1">
        <f>B49+D49+F49+H49+J49+L49+N49</f>
        <v>11.11</v>
      </c>
      <c r="AA49" s="1">
        <v>3.49</v>
      </c>
      <c r="AB49" s="2">
        <f>Z49*AA49</f>
        <v>38.7739</v>
      </c>
      <c r="AC49" s="1"/>
      <c r="AD49" s="1">
        <v>5</v>
      </c>
    </row>
    <row r="50" spans="1:30" ht="12.75">
      <c r="A50" s="5">
        <v>42626</v>
      </c>
      <c r="B50" s="1"/>
      <c r="C50" s="1">
        <f>B50*AA50</f>
        <v>0</v>
      </c>
      <c r="D50" s="1">
        <f>1.5+3.05</f>
        <v>4.55</v>
      </c>
      <c r="E50" s="1">
        <f>D50*AA50</f>
        <v>15.8795</v>
      </c>
      <c r="F50" s="1">
        <f>6.98</f>
        <v>6.98</v>
      </c>
      <c r="G50" s="1">
        <f>F50*AA50</f>
        <v>24.360200000000003</v>
      </c>
      <c r="H50" s="1"/>
      <c r="I50" s="1">
        <f>H50*AA50</f>
        <v>0</v>
      </c>
      <c r="J50" s="1">
        <v>3</v>
      </c>
      <c r="K50" s="1">
        <f>J50*AA50</f>
        <v>10.47</v>
      </c>
      <c r="L50" s="1"/>
      <c r="M50" s="1">
        <f>L50*AA50</f>
        <v>0</v>
      </c>
      <c r="N50" s="1"/>
      <c r="O50" s="1">
        <f>N50*AA50</f>
        <v>0</v>
      </c>
      <c r="P50" s="1"/>
      <c r="Q50" s="1"/>
      <c r="R50" s="1" t="s">
        <v>26</v>
      </c>
      <c r="S50" s="1"/>
      <c r="T50" s="1"/>
      <c r="U50" s="1"/>
      <c r="V50" s="1"/>
      <c r="W50" s="1"/>
      <c r="X50" s="1"/>
      <c r="Y50" s="1" t="s">
        <v>148</v>
      </c>
      <c r="Z50" s="1">
        <f>B50+D50+F50+H50+J50+L50+N50</f>
        <v>14.530000000000001</v>
      </c>
      <c r="AA50" s="1">
        <v>3.49</v>
      </c>
      <c r="AB50" s="2">
        <f>Z50*AA50</f>
        <v>50.709700000000005</v>
      </c>
      <c r="AC50" s="1"/>
      <c r="AD50" s="1">
        <v>5</v>
      </c>
    </row>
    <row r="51" spans="1:30" ht="12.75">
      <c r="A51" s="5">
        <v>42627</v>
      </c>
      <c r="B51" s="1">
        <f>0.5+5.4+0.6</f>
        <v>6.5</v>
      </c>
      <c r="C51" s="1">
        <f>B51*AA51</f>
        <v>22.685000000000002</v>
      </c>
      <c r="D51" s="1">
        <f>5.22</f>
        <v>5.22</v>
      </c>
      <c r="E51" s="1">
        <f>D51*AA51</f>
        <v>18.2178</v>
      </c>
      <c r="F51" s="1"/>
      <c r="G51" s="1">
        <f>F51*AA51</f>
        <v>0</v>
      </c>
      <c r="H51" s="1"/>
      <c r="I51" s="1">
        <f>H51*AA51</f>
        <v>0</v>
      </c>
      <c r="J51" s="1">
        <f>8.75+4.2</f>
        <v>12.95</v>
      </c>
      <c r="K51" s="1">
        <f>J51*AA51</f>
        <v>45.1955</v>
      </c>
      <c r="L51" s="1"/>
      <c r="M51" s="1">
        <f>L51*AA51</f>
        <v>0</v>
      </c>
      <c r="N51" s="1"/>
      <c r="O51" s="1">
        <f>N51*AA51</f>
        <v>0</v>
      </c>
      <c r="P51" s="1"/>
      <c r="Q51" s="1"/>
      <c r="R51" s="1" t="s">
        <v>26</v>
      </c>
      <c r="S51" s="1"/>
      <c r="T51" s="1"/>
      <c r="U51" s="1"/>
      <c r="V51" s="1"/>
      <c r="W51" s="1"/>
      <c r="X51" s="1"/>
      <c r="Y51" s="1" t="s">
        <v>149</v>
      </c>
      <c r="Z51" s="1">
        <f>B51+D51+F51+H51+J51+L51+N51</f>
        <v>24.669999999999998</v>
      </c>
      <c r="AA51" s="1">
        <v>3.49</v>
      </c>
      <c r="AB51" s="2">
        <f>Z51*AA51</f>
        <v>86.0983</v>
      </c>
      <c r="AC51" s="1"/>
      <c r="AD51" s="1">
        <v>5</v>
      </c>
    </row>
    <row r="52" spans="1:30" ht="12.75">
      <c r="A52" s="5">
        <v>42628</v>
      </c>
      <c r="B52" s="1">
        <f>0.6+0.6</f>
        <v>1.2000000000000002</v>
      </c>
      <c r="C52" s="1">
        <f>B52*AA52</f>
        <v>4.188000000000001</v>
      </c>
      <c r="D52" s="1">
        <v>4.29</v>
      </c>
      <c r="E52" s="1">
        <f>D52*AA52</f>
        <v>14.972100000000001</v>
      </c>
      <c r="F52" s="1">
        <v>4</v>
      </c>
      <c r="G52" s="1">
        <f>F52*AA52</f>
        <v>13.96</v>
      </c>
      <c r="H52" s="1"/>
      <c r="I52" s="1">
        <f>H52*AA52</f>
        <v>0</v>
      </c>
      <c r="J52" s="1"/>
      <c r="K52" s="1">
        <f>J52*AA52</f>
        <v>0</v>
      </c>
      <c r="L52" s="1"/>
      <c r="M52" s="1">
        <f>L52*AA52</f>
        <v>0</v>
      </c>
      <c r="N52" s="1"/>
      <c r="O52" s="1">
        <f>N52*AA52</f>
        <v>0</v>
      </c>
      <c r="P52" s="1"/>
      <c r="Q52" s="1"/>
      <c r="R52" s="1" t="s">
        <v>26</v>
      </c>
      <c r="S52" s="1"/>
      <c r="T52" s="1"/>
      <c r="U52" s="1"/>
      <c r="V52" s="1"/>
      <c r="W52" s="1"/>
      <c r="X52" s="1"/>
      <c r="Y52" s="1" t="s">
        <v>150</v>
      </c>
      <c r="Z52" s="1">
        <f>B52+D52+F52+H52+J52+L52+N52</f>
        <v>9.49</v>
      </c>
      <c r="AA52" s="1">
        <v>3.49</v>
      </c>
      <c r="AB52" s="2">
        <f>Z52*AA52</f>
        <v>33.1201</v>
      </c>
      <c r="AC52" s="1"/>
      <c r="AD52" s="1">
        <v>5</v>
      </c>
    </row>
    <row r="53" spans="1:30" ht="12.75">
      <c r="A53" s="5">
        <v>42629</v>
      </c>
      <c r="B53" s="1">
        <f>0.7+0.7</f>
        <v>1.4000000000000001</v>
      </c>
      <c r="C53" s="1">
        <f>B53*AA53</f>
        <v>4.886000000000001</v>
      </c>
      <c r="D53" s="1">
        <v>1.98</v>
      </c>
      <c r="E53" s="1">
        <f>D53*AA53</f>
        <v>6.910200000000001</v>
      </c>
      <c r="F53" s="1">
        <v>3</v>
      </c>
      <c r="G53" s="1">
        <f>F53*AA53</f>
        <v>10.47</v>
      </c>
      <c r="H53" s="1">
        <v>7</v>
      </c>
      <c r="I53" s="1">
        <f>H53*AA53</f>
        <v>24.43</v>
      </c>
      <c r="J53" s="1">
        <v>6.25</v>
      </c>
      <c r="K53" s="1">
        <f>J53*AA53</f>
        <v>21.8125</v>
      </c>
      <c r="L53" s="1"/>
      <c r="M53" s="1">
        <f>L53*AA53</f>
        <v>0</v>
      </c>
      <c r="N53" s="1"/>
      <c r="O53" s="1">
        <f>N53*AA53</f>
        <v>0</v>
      </c>
      <c r="P53" s="1"/>
      <c r="Q53" s="1"/>
      <c r="R53" s="1" t="s">
        <v>26</v>
      </c>
      <c r="S53" s="1"/>
      <c r="T53" s="1"/>
      <c r="U53" s="1"/>
      <c r="V53" s="1"/>
      <c r="W53" s="1"/>
      <c r="X53" s="1">
        <v>1</v>
      </c>
      <c r="Y53" s="1" t="s">
        <v>150</v>
      </c>
      <c r="Z53" s="1">
        <f>B53+D53+F53+H53+J53+L53+N53</f>
        <v>19.63</v>
      </c>
      <c r="AA53" s="1">
        <v>3.49</v>
      </c>
      <c r="AB53" s="2">
        <f>Z53*AA53</f>
        <v>68.5087</v>
      </c>
      <c r="AC53" s="1"/>
      <c r="AD53" s="1">
        <v>5</v>
      </c>
    </row>
    <row r="54" spans="1:30" ht="12.75">
      <c r="A54" s="5">
        <v>42630</v>
      </c>
      <c r="B54" s="1"/>
      <c r="C54" s="1">
        <f>B54*AA54</f>
        <v>0</v>
      </c>
      <c r="D54" s="1">
        <f>1.5+1.5+2.3+1.83</f>
        <v>7.13</v>
      </c>
      <c r="E54" s="1">
        <f>D54*AA54</f>
        <v>24.8837</v>
      </c>
      <c r="F54" s="1">
        <v>5.5</v>
      </c>
      <c r="G54" s="1">
        <f>F54*AA54</f>
        <v>19.195</v>
      </c>
      <c r="H54" s="1"/>
      <c r="I54" s="1">
        <f>H54*AA54</f>
        <v>0</v>
      </c>
      <c r="J54" s="1"/>
      <c r="K54" s="1">
        <f>J54*AA54</f>
        <v>0</v>
      </c>
      <c r="L54" s="1"/>
      <c r="M54" s="1">
        <f>L54*AA54</f>
        <v>0</v>
      </c>
      <c r="N54" s="1"/>
      <c r="O54" s="1">
        <f>N54*AA54</f>
        <v>0</v>
      </c>
      <c r="P54" s="1"/>
      <c r="Q54" s="1"/>
      <c r="R54" s="1" t="s">
        <v>26</v>
      </c>
      <c r="S54" s="1"/>
      <c r="T54" s="1"/>
      <c r="U54" s="1"/>
      <c r="V54" s="1"/>
      <c r="W54" s="1"/>
      <c r="X54" s="1"/>
      <c r="Y54" s="1" t="s">
        <v>150</v>
      </c>
      <c r="Z54" s="1">
        <f>B54+D54+F54+H54+J54+L54+N54</f>
        <v>12.629999999999999</v>
      </c>
      <c r="AA54" s="1">
        <v>3.49</v>
      </c>
      <c r="AB54" s="2">
        <f>Z54*AA54</f>
        <v>44.0787</v>
      </c>
      <c r="AC54" s="1"/>
      <c r="AD54" s="1">
        <v>5</v>
      </c>
    </row>
    <row r="55" spans="1:30" ht="12.75">
      <c r="A55" s="5">
        <v>42631</v>
      </c>
      <c r="B55" s="1">
        <f>1.1+6+2</f>
        <v>9.1</v>
      </c>
      <c r="C55" s="1">
        <f>B55*AA55</f>
        <v>31.759</v>
      </c>
      <c r="D55" s="1"/>
      <c r="E55" s="1">
        <f>D55*AA55</f>
        <v>0</v>
      </c>
      <c r="F55" s="1"/>
      <c r="G55" s="1">
        <f>F55*AA55</f>
        <v>0</v>
      </c>
      <c r="H55" s="1"/>
      <c r="I55" s="1">
        <f>H55*AA55</f>
        <v>0</v>
      </c>
      <c r="J55" s="1">
        <v>1.5</v>
      </c>
      <c r="K55" s="1">
        <f>J55*AA55</f>
        <v>5.235</v>
      </c>
      <c r="L55" s="1"/>
      <c r="M55" s="1">
        <f>L55*AA55</f>
        <v>0</v>
      </c>
      <c r="N55" s="1"/>
      <c r="O55" s="1">
        <f>N55*AA55</f>
        <v>0</v>
      </c>
      <c r="P55" s="1"/>
      <c r="Q55" s="1"/>
      <c r="R55" s="1"/>
      <c r="S55" s="1"/>
      <c r="T55" s="1"/>
      <c r="U55" s="1"/>
      <c r="V55" s="1"/>
      <c r="W55" s="1"/>
      <c r="X55" s="1"/>
      <c r="Y55" s="1" t="s">
        <v>151</v>
      </c>
      <c r="Z55" s="1">
        <f>B55+D55+F55+H55+J55+L55+N55</f>
        <v>10.6</v>
      </c>
      <c r="AA55" s="1">
        <v>3.49</v>
      </c>
      <c r="AB55" s="2">
        <f>Z55*AA55</f>
        <v>36.994</v>
      </c>
      <c r="AC55" s="1"/>
      <c r="AD55" s="1">
        <v>5</v>
      </c>
    </row>
    <row r="56" spans="1:30" ht="12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>N56*AA56</f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1"/>
      <c r="AD56" s="1"/>
    </row>
    <row r="57" spans="1:30" ht="12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>N57*AA57</f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1"/>
      <c r="AD57" s="1"/>
    </row>
    <row r="58" spans="1:30" ht="12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>N58*AA58</f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1"/>
      <c r="AD58" s="1"/>
    </row>
    <row r="59" spans="1:30" ht="12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f>N59*AA59</f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1"/>
      <c r="AD59" s="1"/>
    </row>
    <row r="60" spans="1:30" ht="12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f>N60*AA60</f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1"/>
      <c r="AD60" s="1"/>
    </row>
    <row r="61" spans="1:30" ht="12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f>N61*AA61</f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1"/>
      <c r="AD61" s="1"/>
    </row>
    <row r="62" spans="1:30" ht="12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>N62*AA62</f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1"/>
      <c r="AD62" s="1"/>
    </row>
    <row r="63" spans="1:30" ht="12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>N63*AA63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1"/>
      <c r="AD63" s="1"/>
    </row>
    <row r="64" spans="1:30" ht="12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f>N64*AA64</f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1"/>
      <c r="AD64" s="1"/>
    </row>
    <row r="65" spans="1:30" ht="12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f>N65*AA65</f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1"/>
      <c r="AD65" s="1"/>
    </row>
    <row r="66" spans="1:30" ht="12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f>N66*AA66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1"/>
      <c r="AD66" s="1"/>
    </row>
    <row r="67" spans="1:30" ht="12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f>N67*AA67</f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1"/>
      <c r="AD67" s="1"/>
    </row>
    <row r="68" spans="1:30" ht="12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f>N68*AA68</f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1"/>
      <c r="AD68" s="1"/>
    </row>
    <row r="69" spans="1:30" ht="12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f>N69*AA69</f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1"/>
      <c r="AD69" s="1"/>
    </row>
    <row r="70" spans="1:30" ht="12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f>N70*AA70</f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1"/>
      <c r="AD70" s="1"/>
    </row>
    <row r="71" ht="12.75">
      <c r="O71" s="1">
        <f>N71*AA71</f>
        <v>0</v>
      </c>
    </row>
    <row r="72" ht="12.75">
      <c r="O72" s="1">
        <f>N72*AA72</f>
        <v>0</v>
      </c>
    </row>
    <row r="73" ht="12.75">
      <c r="O73" s="1">
        <f>N73*AA73</f>
        <v>0</v>
      </c>
    </row>
    <row r="74" ht="12.75">
      <c r="O74" s="1">
        <f>N74*AA74</f>
        <v>0</v>
      </c>
    </row>
    <row r="75" ht="12.75">
      <c r="O75" s="1">
        <f>N75*AA75</f>
        <v>0</v>
      </c>
    </row>
    <row r="76" ht="12.75">
      <c r="O76" s="1">
        <f>N76*AA76</f>
        <v>0</v>
      </c>
    </row>
    <row r="77" ht="12.75">
      <c r="O77" s="1">
        <f>N77*AA77</f>
        <v>0</v>
      </c>
    </row>
    <row r="78" ht="12.75">
      <c r="O78" s="1">
        <f>N78*AA78</f>
        <v>0</v>
      </c>
    </row>
    <row r="79" ht="12.75">
      <c r="O79" s="1">
        <f>N79*AA79</f>
        <v>0</v>
      </c>
    </row>
    <row r="80" ht="12.75">
      <c r="O80" s="1">
        <f>N80*AA80</f>
        <v>0</v>
      </c>
    </row>
    <row r="81" ht="12.75">
      <c r="O81" s="1">
        <f>N81*AA81</f>
        <v>0</v>
      </c>
    </row>
    <row r="82" ht="12.75">
      <c r="O82" s="1">
        <f>N82*AA82</f>
        <v>0</v>
      </c>
    </row>
    <row r="83" ht="12.75">
      <c r="O83" s="1">
        <f>N83*AA83</f>
        <v>0</v>
      </c>
    </row>
    <row r="84" ht="12.75">
      <c r="O84" s="1">
        <f>N84*AA84</f>
        <v>0</v>
      </c>
    </row>
    <row r="85" ht="12.75">
      <c r="O85" s="1">
        <f>N85*AA85</f>
        <v>0</v>
      </c>
    </row>
    <row r="86" ht="12.75">
      <c r="O86" s="1">
        <f>N86*AA86</f>
        <v>0</v>
      </c>
    </row>
    <row r="87" ht="12.75">
      <c r="O87" s="1">
        <f>N87*AA87</f>
        <v>0</v>
      </c>
    </row>
    <row r="88" ht="12.75">
      <c r="O88" s="1">
        <f>N88*AA88</f>
        <v>0</v>
      </c>
    </row>
    <row r="89" ht="12.75">
      <c r="O89" s="1">
        <f>N89*AA89</f>
        <v>0</v>
      </c>
    </row>
    <row r="90" ht="12.75">
      <c r="O90" s="1">
        <f>N90*AA90</f>
        <v>0</v>
      </c>
    </row>
    <row r="91" ht="12.75">
      <c r="O91" s="1">
        <f>N91*AA91</f>
        <v>0</v>
      </c>
    </row>
    <row r="92" ht="12.75">
      <c r="O92" s="1">
        <f>N92*AA92</f>
        <v>0</v>
      </c>
    </row>
    <row r="93" ht="12.75">
      <c r="O93" s="1">
        <f>N93*AA93</f>
        <v>0</v>
      </c>
    </row>
    <row r="94" ht="12.75">
      <c r="O94" s="1">
        <f>N94*AA94</f>
        <v>0</v>
      </c>
    </row>
    <row r="95" ht="12.75">
      <c r="O95" s="1">
        <f>N95*AA95</f>
        <v>0</v>
      </c>
    </row>
    <row r="96" ht="12.75">
      <c r="O96" s="1">
        <f>N96*AA96</f>
        <v>0</v>
      </c>
    </row>
    <row r="97" ht="12.75">
      <c r="O97" s="1">
        <f>N97*AA97</f>
        <v>0</v>
      </c>
    </row>
    <row r="98" ht="12.75">
      <c r="O98" s="1">
        <f>N98*AA98</f>
        <v>0</v>
      </c>
    </row>
    <row r="99" ht="12.75">
      <c r="O99" s="1">
        <f>N99*AA99</f>
        <v>0</v>
      </c>
    </row>
    <row r="100" ht="12.75">
      <c r="O100" s="1">
        <f>N100*AA100</f>
        <v>0</v>
      </c>
    </row>
    <row r="101" ht="12.75">
      <c r="O101" s="1">
        <f>N101*AA101</f>
        <v>0</v>
      </c>
    </row>
    <row r="102" ht="12.75">
      <c r="O102" s="1">
        <f>N102*AA102</f>
        <v>0</v>
      </c>
    </row>
    <row r="103" ht="12.75">
      <c r="O103" s="1">
        <f>N103*AA103</f>
        <v>0</v>
      </c>
    </row>
    <row r="104" ht="12.75">
      <c r="O104" s="1">
        <f>N104*AA104</f>
        <v>0</v>
      </c>
    </row>
    <row r="105" ht="12.75">
      <c r="O105" s="1">
        <f>N105*AA105</f>
        <v>0</v>
      </c>
    </row>
    <row r="106" ht="12.75">
      <c r="O106" s="1">
        <f>N106*AA106</f>
        <v>0</v>
      </c>
    </row>
    <row r="107" ht="12.75">
      <c r="O107" s="1">
        <f>N107*AA107</f>
        <v>0</v>
      </c>
    </row>
    <row r="108" ht="12.75">
      <c r="O108" s="1">
        <f>N108*AA108</f>
        <v>0</v>
      </c>
    </row>
    <row r="109" ht="12.75">
      <c r="O109" s="1">
        <f>N109*AA109</f>
        <v>0</v>
      </c>
    </row>
    <row r="110" ht="12.75">
      <c r="O110" s="1">
        <f>N110*AA110</f>
        <v>0</v>
      </c>
    </row>
    <row r="111" ht="12.75">
      <c r="O111" s="1">
        <f>N111*AA111</f>
        <v>0</v>
      </c>
    </row>
    <row r="112" ht="12.75">
      <c r="O112" s="1">
        <f>N112*AA112</f>
        <v>0</v>
      </c>
    </row>
    <row r="113" ht="12.75">
      <c r="O113" s="1">
        <f>N113*AA113</f>
        <v>0</v>
      </c>
    </row>
    <row r="114" ht="12.75">
      <c r="O114" s="1">
        <f>N114*AA114</f>
        <v>0</v>
      </c>
    </row>
    <row r="115" ht="12.75">
      <c r="O115" s="1">
        <f>N115*AA115</f>
        <v>0</v>
      </c>
    </row>
    <row r="116" ht="12.75">
      <c r="O116" s="1">
        <f>N116*AA116</f>
        <v>0</v>
      </c>
    </row>
    <row r="117" ht="12.75">
      <c r="O117" s="1">
        <f>N117*AA117</f>
        <v>0</v>
      </c>
    </row>
    <row r="118" ht="12.75">
      <c r="O118" s="1">
        <f>N118*AA118</f>
        <v>0</v>
      </c>
    </row>
    <row r="119" ht="12.75">
      <c r="O119" s="1">
        <f>N119*AA119</f>
        <v>0</v>
      </c>
    </row>
    <row r="120" ht="12.75">
      <c r="O120" s="1">
        <f>N120*AA120</f>
        <v>0</v>
      </c>
    </row>
    <row r="121" ht="12.75">
      <c r="O121" s="1">
        <f>N121*AA121</f>
        <v>0</v>
      </c>
    </row>
    <row r="122" ht="12.75">
      <c r="O122" s="1">
        <f>N122*AA122</f>
        <v>0</v>
      </c>
    </row>
    <row r="123" ht="12.75">
      <c r="O123" s="1">
        <f>N123*AA123</f>
        <v>0</v>
      </c>
    </row>
    <row r="124" ht="12.75">
      <c r="O124" s="1">
        <f>N124*AA124</f>
        <v>0</v>
      </c>
    </row>
    <row r="125" ht="12.75">
      <c r="O125" s="1">
        <f>N125*AA125</f>
        <v>0</v>
      </c>
    </row>
    <row r="126" ht="12.75">
      <c r="O126" s="1">
        <f>N126*AA126</f>
        <v>0</v>
      </c>
    </row>
    <row r="127" ht="12.75">
      <c r="O127" s="1">
        <f>N127*AA127</f>
        <v>0</v>
      </c>
    </row>
    <row r="128" ht="12.75">
      <c r="O128" s="1">
        <f>N128*AA128</f>
        <v>0</v>
      </c>
    </row>
    <row r="129" ht="12.75">
      <c r="O129" s="1">
        <f>N129*AA129</f>
        <v>0</v>
      </c>
    </row>
    <row r="130" ht="12.75">
      <c r="O130" s="1">
        <f>N130*AA130</f>
        <v>0</v>
      </c>
    </row>
    <row r="131" ht="12.75">
      <c r="O131" s="1">
        <f>N131*AA131</f>
        <v>0</v>
      </c>
    </row>
    <row r="132" ht="12.75">
      <c r="O132" s="1">
        <f>N132*AA132</f>
        <v>0</v>
      </c>
    </row>
    <row r="133" ht="12.75">
      <c r="O133" s="1">
        <f>N133*AA133</f>
        <v>0</v>
      </c>
    </row>
    <row r="134" ht="12.75">
      <c r="O134" s="1">
        <f>N134*AA134</f>
        <v>0</v>
      </c>
    </row>
    <row r="135" ht="12.75">
      <c r="O135" s="1">
        <f>N135*AA135</f>
        <v>0</v>
      </c>
    </row>
    <row r="136" ht="12.75">
      <c r="O136" s="1">
        <f>N136*AA136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zoomScale="90" zoomScaleNormal="90" workbookViewId="0" topLeftCell="A1">
      <selection activeCell="C12" sqref="C12"/>
    </sheetView>
  </sheetViews>
  <sheetFormatPr defaultColWidth="12.57421875" defaultRowHeight="12.75"/>
  <cols>
    <col min="1" max="1" width="2.7109375" style="11" customWidth="1"/>
    <col min="2" max="2" width="11.57421875" style="11" customWidth="1"/>
    <col min="3" max="3" width="7.421875" style="11" customWidth="1"/>
    <col min="4" max="4" width="43.8515625" style="11" customWidth="1"/>
    <col min="5" max="6" width="11.57421875" style="11" customWidth="1"/>
    <col min="7" max="7" width="14.140625" style="11" customWidth="1"/>
    <col min="8" max="16384" width="11.57421875" style="11" customWidth="1"/>
  </cols>
  <sheetData>
    <row r="1" spans="2:7" ht="12.75">
      <c r="B1" s="11" t="s">
        <v>152</v>
      </c>
      <c r="C1" s="11" t="s">
        <v>153</v>
      </c>
      <c r="E1" s="11" t="s">
        <v>154</v>
      </c>
      <c r="F1" s="11" t="s">
        <v>155</v>
      </c>
      <c r="G1" s="11" t="s">
        <v>156</v>
      </c>
    </row>
    <row r="2" spans="2:7" ht="12.75">
      <c r="B2" s="12">
        <v>42342</v>
      </c>
      <c r="C2" s="11">
        <v>112</v>
      </c>
      <c r="D2" s="11" t="s">
        <v>157</v>
      </c>
      <c r="E2" s="11" t="s">
        <v>158</v>
      </c>
      <c r="F2" s="11">
        <v>0.25</v>
      </c>
      <c r="G2" s="13">
        <f>C2*F2</f>
        <v>28</v>
      </c>
    </row>
    <row r="3" spans="2:10" ht="12.75">
      <c r="B3" s="12">
        <v>42342</v>
      </c>
      <c r="C3" s="11">
        <v>30</v>
      </c>
      <c r="D3" s="11" t="s">
        <v>159</v>
      </c>
      <c r="E3" s="11" t="s">
        <v>158</v>
      </c>
      <c r="F3" s="11">
        <v>0.25</v>
      </c>
      <c r="G3" s="13">
        <f>C3*F3</f>
        <v>7.5</v>
      </c>
      <c r="I3" s="11" t="s">
        <v>160</v>
      </c>
      <c r="J3" s="11">
        <f>SUM(G2:G183)</f>
        <v>637.34</v>
      </c>
    </row>
    <row r="4" spans="2:7" ht="12.75">
      <c r="B4" s="12">
        <v>42343</v>
      </c>
      <c r="C4" s="11">
        <v>5</v>
      </c>
      <c r="D4" s="11" t="s">
        <v>159</v>
      </c>
      <c r="E4" s="11" t="s">
        <v>158</v>
      </c>
      <c r="F4" s="11">
        <v>0.25</v>
      </c>
      <c r="G4" s="13">
        <f>C4*F4</f>
        <v>1.25</v>
      </c>
    </row>
    <row r="5" spans="2:7" ht="12.75">
      <c r="B5" s="12">
        <v>42344</v>
      </c>
      <c r="C5" s="11">
        <v>20</v>
      </c>
      <c r="D5" s="11" t="s">
        <v>161</v>
      </c>
      <c r="E5" s="11" t="s">
        <v>158</v>
      </c>
      <c r="F5" s="11">
        <v>0.25</v>
      </c>
      <c r="G5" s="13">
        <f>C5*F5</f>
        <v>5</v>
      </c>
    </row>
    <row r="6" spans="2:7" ht="12.75">
      <c r="B6" s="12">
        <v>42347</v>
      </c>
      <c r="C6" s="11">
        <v>50</v>
      </c>
      <c r="D6" s="11" t="s">
        <v>162</v>
      </c>
      <c r="E6" s="11" t="s">
        <v>158</v>
      </c>
      <c r="F6" s="11">
        <v>0.25</v>
      </c>
      <c r="G6" s="13">
        <f>C6*F6</f>
        <v>12.5</v>
      </c>
    </row>
    <row r="7" spans="2:7" ht="12.75">
      <c r="B7" s="12">
        <v>42351</v>
      </c>
      <c r="C7" s="11">
        <v>20</v>
      </c>
      <c r="D7" s="11" t="s">
        <v>163</v>
      </c>
      <c r="E7" s="11" t="s">
        <v>158</v>
      </c>
      <c r="F7" s="11">
        <v>0.25</v>
      </c>
      <c r="G7" s="13">
        <f>C7*F7</f>
        <v>5</v>
      </c>
    </row>
    <row r="8" spans="2:7" ht="12.75">
      <c r="B8" s="12">
        <v>42352</v>
      </c>
      <c r="C8" s="11">
        <v>250</v>
      </c>
      <c r="D8" s="11" t="s">
        <v>157</v>
      </c>
      <c r="E8" s="11" t="s">
        <v>158</v>
      </c>
      <c r="F8" s="11">
        <v>0.25</v>
      </c>
      <c r="G8" s="13">
        <f>C8*F8</f>
        <v>62.5</v>
      </c>
    </row>
    <row r="9" spans="2:7" ht="12.75">
      <c r="B9" s="12">
        <v>42423</v>
      </c>
      <c r="C9" s="11">
        <v>100</v>
      </c>
      <c r="D9" s="11" t="s">
        <v>164</v>
      </c>
      <c r="E9" s="11" t="s">
        <v>158</v>
      </c>
      <c r="F9" s="11">
        <v>4</v>
      </c>
      <c r="G9" s="13">
        <f>C9*F9</f>
        <v>400</v>
      </c>
    </row>
    <row r="10" spans="2:7" ht="12.75">
      <c r="B10" s="12">
        <v>42511</v>
      </c>
      <c r="C10" s="11">
        <v>10</v>
      </c>
      <c r="D10" s="11" t="s">
        <v>165</v>
      </c>
      <c r="E10" s="11" t="s">
        <v>166</v>
      </c>
      <c r="F10" s="11">
        <v>1.1</v>
      </c>
      <c r="G10" s="13">
        <f>C10*F10</f>
        <v>11</v>
      </c>
    </row>
    <row r="11" spans="2:7" ht="12.75">
      <c r="B11" s="12">
        <v>42516</v>
      </c>
      <c r="C11" s="11">
        <v>1</v>
      </c>
      <c r="D11" s="11" t="s">
        <v>167</v>
      </c>
      <c r="E11" s="11" t="s">
        <v>166</v>
      </c>
      <c r="F11" s="11">
        <v>1.1</v>
      </c>
      <c r="G11" s="13">
        <f>C11*F11</f>
        <v>1.1</v>
      </c>
    </row>
    <row r="12" spans="2:7" ht="12.75">
      <c r="B12" s="12">
        <v>42653</v>
      </c>
      <c r="C12" s="11">
        <v>103.49</v>
      </c>
      <c r="D12" s="11" t="s">
        <v>168</v>
      </c>
      <c r="F12" s="11">
        <v>1</v>
      </c>
      <c r="G12" s="13">
        <f>C12*F12</f>
        <v>103.49</v>
      </c>
    </row>
    <row r="13" ht="12.75">
      <c r="G13" s="13">
        <f>C13*F13</f>
        <v>0</v>
      </c>
    </row>
    <row r="14" ht="12.75">
      <c r="G14" s="13">
        <f>C14*F14</f>
        <v>0</v>
      </c>
    </row>
    <row r="15" ht="12.75">
      <c r="G15" s="13">
        <f>C15*F15</f>
        <v>0</v>
      </c>
    </row>
    <row r="16" ht="12.75">
      <c r="G16" s="13">
        <f>C16*F16</f>
        <v>0</v>
      </c>
    </row>
    <row r="17" ht="12.75">
      <c r="G17" s="13">
        <f>C17*F17</f>
        <v>0</v>
      </c>
    </row>
    <row r="18" ht="12.75">
      <c r="G18" s="13">
        <f>C18*F18</f>
        <v>0</v>
      </c>
    </row>
    <row r="19" ht="12.75">
      <c r="G19" s="13">
        <f>C19*F19</f>
        <v>0</v>
      </c>
    </row>
    <row r="20" ht="12.75">
      <c r="G20" s="13">
        <f>C20*F20</f>
        <v>0</v>
      </c>
    </row>
    <row r="21" ht="12.75">
      <c r="G21" s="13">
        <f>C21*F21</f>
        <v>0</v>
      </c>
    </row>
    <row r="22" ht="12.75">
      <c r="G22" s="13">
        <f>C22*F22</f>
        <v>0</v>
      </c>
    </row>
    <row r="23" ht="12.75">
      <c r="G23" s="13">
        <f>C23*F23</f>
        <v>0</v>
      </c>
    </row>
    <row r="24" ht="12.75">
      <c r="G24" s="13"/>
    </row>
    <row r="25" ht="12.75">
      <c r="G25" s="13"/>
    </row>
    <row r="26" ht="12.75">
      <c r="G26" s="13"/>
    </row>
    <row r="27" ht="12.75">
      <c r="G27" s="13"/>
    </row>
    <row r="28" ht="12.75">
      <c r="G28" s="13"/>
    </row>
    <row r="29" ht="12.75">
      <c r="G29" s="13"/>
    </row>
    <row r="30" ht="12.75">
      <c r="G30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A47"/>
  <sheetViews>
    <sheetView zoomScale="90" zoomScaleNormal="90" workbookViewId="0" topLeftCell="I1">
      <selection activeCell="I16" sqref="I16"/>
    </sheetView>
  </sheetViews>
  <sheetFormatPr defaultColWidth="12.57421875" defaultRowHeight="12.75"/>
  <cols>
    <col min="1" max="1" width="1.57421875" style="0" customWidth="1"/>
    <col min="2" max="2" width="15.57421875" style="14" customWidth="1"/>
    <col min="3" max="3" width="7.00390625" style="15" customWidth="1"/>
    <col min="4" max="4" width="15.7109375" style="16" customWidth="1"/>
    <col min="5" max="5" width="11.00390625" style="16" customWidth="1"/>
    <col min="6" max="6" width="12.421875" style="16" customWidth="1"/>
    <col min="7" max="7" width="12.140625" style="16" customWidth="1"/>
    <col min="8" max="12" width="11.57421875" style="16" customWidth="1"/>
    <col min="13" max="13" width="11.28125" style="17" customWidth="1"/>
    <col min="14" max="14" width="5.57421875" style="18" customWidth="1"/>
    <col min="15" max="15" width="9.140625" style="18" customWidth="1"/>
    <col min="16" max="16" width="11.140625" style="18" customWidth="1"/>
    <col min="17" max="17" width="8.421875" style="18" customWidth="1"/>
    <col min="18" max="18" width="11.57421875" style="18" customWidth="1"/>
    <col min="19" max="20" width="10.28125" style="18" customWidth="1"/>
    <col min="21" max="21" width="11.8515625" style="18" customWidth="1"/>
    <col min="22" max="23" width="11.57421875" style="18" customWidth="1"/>
    <col min="24" max="24" width="11.57421875" style="19" customWidth="1"/>
    <col min="25" max="25" width="15.8515625" style="1" customWidth="1"/>
    <col min="26" max="26" width="15.8515625" style="0" customWidth="1"/>
    <col min="27" max="27" width="14.421875" style="0" customWidth="1"/>
    <col min="28" max="16384" width="11.57421875" style="0" customWidth="1"/>
  </cols>
  <sheetData>
    <row r="1" spans="2:25" s="20" customFormat="1" ht="27.75" customHeight="1">
      <c r="B1" s="21" t="s">
        <v>169</v>
      </c>
      <c r="C1" s="21" t="s">
        <v>170</v>
      </c>
      <c r="D1" s="22" t="s">
        <v>171</v>
      </c>
      <c r="E1" s="22" t="s">
        <v>172</v>
      </c>
      <c r="F1" s="22" t="s">
        <v>173</v>
      </c>
      <c r="G1" s="22" t="s">
        <v>174</v>
      </c>
      <c r="H1" s="22" t="s">
        <v>175</v>
      </c>
      <c r="I1" s="22" t="s">
        <v>176</v>
      </c>
      <c r="J1" s="22" t="s">
        <v>177</v>
      </c>
      <c r="K1" s="22" t="s">
        <v>178</v>
      </c>
      <c r="L1" s="22" t="s">
        <v>179</v>
      </c>
      <c r="M1" s="23" t="s">
        <v>180</v>
      </c>
      <c r="N1" s="24" t="s">
        <v>181</v>
      </c>
      <c r="O1" s="24" t="s">
        <v>182</v>
      </c>
      <c r="P1" s="24" t="s">
        <v>183</v>
      </c>
      <c r="Q1" s="24" t="s">
        <v>184</v>
      </c>
      <c r="R1" s="24" t="s">
        <v>185</v>
      </c>
      <c r="S1" s="24" t="s">
        <v>186</v>
      </c>
      <c r="T1" s="24" t="s">
        <v>187</v>
      </c>
      <c r="U1" s="24" t="s">
        <v>188</v>
      </c>
      <c r="V1" s="24" t="s">
        <v>189</v>
      </c>
      <c r="W1" s="24" t="s">
        <v>190</v>
      </c>
      <c r="X1" s="25" t="s">
        <v>191</v>
      </c>
      <c r="Y1" s="26"/>
    </row>
    <row r="2" spans="2:26" s="11" customFormat="1" ht="12.75">
      <c r="B2" s="15" t="s">
        <v>192</v>
      </c>
      <c r="C2" s="15">
        <v>33</v>
      </c>
      <c r="D2" s="27">
        <v>3758.49</v>
      </c>
      <c r="E2" s="28">
        <f>D2/C2</f>
        <v>113.89363636363636</v>
      </c>
      <c r="F2" s="28">
        <v>930.33</v>
      </c>
      <c r="G2" s="28">
        <v>824.28</v>
      </c>
      <c r="H2" s="28">
        <v>1667.23</v>
      </c>
      <c r="I2" s="28">
        <v>100</v>
      </c>
      <c r="J2" s="28">
        <v>143.15</v>
      </c>
      <c r="K2" s="28">
        <v>93.5</v>
      </c>
      <c r="L2" s="28"/>
      <c r="M2" s="29"/>
      <c r="N2" s="30">
        <v>10</v>
      </c>
      <c r="O2" s="30">
        <v>5</v>
      </c>
      <c r="P2" s="30"/>
      <c r="Q2" s="30">
        <v>7</v>
      </c>
      <c r="R2" s="30">
        <v>8</v>
      </c>
      <c r="S2" s="30">
        <v>1</v>
      </c>
      <c r="T2" s="30">
        <v>2</v>
      </c>
      <c r="U2" s="30">
        <v>0</v>
      </c>
      <c r="V2" s="30">
        <v>13</v>
      </c>
      <c r="W2" s="30">
        <v>20</v>
      </c>
      <c r="X2" s="19">
        <v>3</v>
      </c>
      <c r="Y2" s="1"/>
      <c r="Z2"/>
    </row>
    <row r="3" spans="2:27" ht="12.75">
      <c r="B3" s="15" t="s">
        <v>193</v>
      </c>
      <c r="C3" s="15">
        <v>30</v>
      </c>
      <c r="D3" s="27">
        <v>1674.25</v>
      </c>
      <c r="E3" s="28">
        <f>D3/C3</f>
        <v>55.80833333333333</v>
      </c>
      <c r="F3" s="28">
        <v>285</v>
      </c>
      <c r="G3" s="28">
        <v>641</v>
      </c>
      <c r="H3" s="28">
        <v>517.25</v>
      </c>
      <c r="I3" s="28">
        <v>15</v>
      </c>
      <c r="J3" s="28">
        <v>111</v>
      </c>
      <c r="K3" s="28">
        <v>105</v>
      </c>
      <c r="L3" s="28"/>
      <c r="M3" s="29"/>
      <c r="N3" s="30">
        <v>12</v>
      </c>
      <c r="O3" s="30">
        <v>1</v>
      </c>
      <c r="P3" s="30"/>
      <c r="Q3" s="30">
        <v>0</v>
      </c>
      <c r="R3" s="30">
        <v>5</v>
      </c>
      <c r="S3" s="30">
        <v>0</v>
      </c>
      <c r="T3" s="30">
        <v>1</v>
      </c>
      <c r="U3" s="30">
        <v>11</v>
      </c>
      <c r="V3" s="30">
        <v>5</v>
      </c>
      <c r="W3" s="30">
        <v>25</v>
      </c>
      <c r="X3" s="19">
        <v>12</v>
      </c>
      <c r="Z3" t="s">
        <v>194</v>
      </c>
      <c r="AA3" s="14">
        <f>SUM(C2:C21)</f>
        <v>460</v>
      </c>
    </row>
    <row r="4" spans="2:27" s="11" customFormat="1" ht="12.75">
      <c r="B4" s="15" t="s">
        <v>195</v>
      </c>
      <c r="C4" s="15">
        <v>31</v>
      </c>
      <c r="D4" s="27">
        <v>2382.72</v>
      </c>
      <c r="E4" s="28">
        <f>D4/C4</f>
        <v>76.86193548387097</v>
      </c>
      <c r="F4" s="28">
        <v>669.53</v>
      </c>
      <c r="G4" s="28">
        <v>657.41</v>
      </c>
      <c r="H4" s="28">
        <v>648.06</v>
      </c>
      <c r="I4" s="28">
        <v>23.7</v>
      </c>
      <c r="J4" s="28">
        <v>310.27</v>
      </c>
      <c r="K4" s="28">
        <v>73.77</v>
      </c>
      <c r="L4" s="28"/>
      <c r="M4" s="29"/>
      <c r="N4" s="30">
        <v>3</v>
      </c>
      <c r="O4" s="30">
        <v>5</v>
      </c>
      <c r="P4" s="30"/>
      <c r="Q4" s="30">
        <v>0</v>
      </c>
      <c r="R4" s="30">
        <v>6</v>
      </c>
      <c r="S4" s="30">
        <v>0</v>
      </c>
      <c r="T4" s="30">
        <v>1</v>
      </c>
      <c r="U4" s="30">
        <v>15</v>
      </c>
      <c r="V4" s="30">
        <v>10</v>
      </c>
      <c r="W4" s="30">
        <v>21</v>
      </c>
      <c r="X4" s="19">
        <v>2</v>
      </c>
      <c r="Y4" s="1"/>
      <c r="Z4" s="11" t="s">
        <v>196</v>
      </c>
      <c r="AA4" s="31">
        <f>SUM(D2:D21)</f>
        <v>35000.6038</v>
      </c>
    </row>
    <row r="5" spans="2:27" ht="12.75">
      <c r="B5" s="15" t="s">
        <v>197</v>
      </c>
      <c r="C5" s="15">
        <v>31</v>
      </c>
      <c r="D5" s="27">
        <v>1865</v>
      </c>
      <c r="E5" s="28">
        <f>D5/C5</f>
        <v>60.16129032258065</v>
      </c>
      <c r="F5" s="28">
        <v>656.8</v>
      </c>
      <c r="G5" s="28">
        <v>790.07685</v>
      </c>
      <c r="H5" s="28">
        <v>0</v>
      </c>
      <c r="I5" s="28">
        <v>273.2</v>
      </c>
      <c r="J5" s="28">
        <v>133.95</v>
      </c>
      <c r="K5" s="28">
        <v>11.6</v>
      </c>
      <c r="L5" s="28"/>
      <c r="M5" s="29">
        <v>2</v>
      </c>
      <c r="N5" s="30">
        <v>0</v>
      </c>
      <c r="O5" s="30">
        <v>21</v>
      </c>
      <c r="P5" s="30">
        <v>5</v>
      </c>
      <c r="Q5" s="30">
        <v>4</v>
      </c>
      <c r="R5" s="30">
        <v>1</v>
      </c>
      <c r="S5" s="30">
        <v>0</v>
      </c>
      <c r="T5" s="30">
        <v>0</v>
      </c>
      <c r="U5" s="30">
        <v>0</v>
      </c>
      <c r="V5" s="30">
        <v>14</v>
      </c>
      <c r="W5" s="30">
        <v>17</v>
      </c>
      <c r="X5" s="19">
        <v>21</v>
      </c>
      <c r="Z5" s="11" t="s">
        <v>198</v>
      </c>
      <c r="AA5" s="32">
        <f>AA4/AA3</f>
        <v>76.08826913043478</v>
      </c>
    </row>
    <row r="6" spans="2:24" ht="12.75">
      <c r="B6" s="15" t="s">
        <v>199</v>
      </c>
      <c r="C6" s="15">
        <v>29</v>
      </c>
      <c r="D6" s="27">
        <f>SUM(F6:K6)</f>
        <v>1614.0100000000002</v>
      </c>
      <c r="E6" s="28">
        <f>D6/C6</f>
        <v>55.655517241379314</v>
      </c>
      <c r="F6" s="28">
        <v>505</v>
      </c>
      <c r="G6" s="28">
        <v>908.86</v>
      </c>
      <c r="H6" s="28">
        <v>84.73</v>
      </c>
      <c r="I6" s="28">
        <v>87</v>
      </c>
      <c r="J6" s="28">
        <v>0</v>
      </c>
      <c r="K6" s="28">
        <v>28.42</v>
      </c>
      <c r="L6" s="28"/>
      <c r="M6" s="29">
        <v>0</v>
      </c>
      <c r="N6" s="30">
        <v>0</v>
      </c>
      <c r="O6" s="30">
        <v>9</v>
      </c>
      <c r="P6" s="30">
        <v>3</v>
      </c>
      <c r="Q6" s="30">
        <v>16</v>
      </c>
      <c r="R6" s="30">
        <v>1</v>
      </c>
      <c r="S6" s="30">
        <v>0</v>
      </c>
      <c r="T6" s="30">
        <v>0</v>
      </c>
      <c r="U6" s="30">
        <v>0</v>
      </c>
      <c r="V6" s="30">
        <v>9</v>
      </c>
      <c r="W6" s="30">
        <v>20</v>
      </c>
      <c r="X6" s="19">
        <v>23</v>
      </c>
    </row>
    <row r="7" spans="2:25" s="11" customFormat="1" ht="12.75">
      <c r="B7" s="15" t="s">
        <v>200</v>
      </c>
      <c r="C7" s="15">
        <v>31</v>
      </c>
      <c r="D7" s="27">
        <v>1987.12</v>
      </c>
      <c r="E7" s="28">
        <f>D7/C7</f>
        <v>64.10064516129032</v>
      </c>
      <c r="F7" s="28">
        <v>458.38</v>
      </c>
      <c r="G7" s="28">
        <v>746</v>
      </c>
      <c r="H7" s="28">
        <v>230.49</v>
      </c>
      <c r="I7" s="28">
        <v>382.37</v>
      </c>
      <c r="J7" s="28">
        <v>104.23</v>
      </c>
      <c r="K7" s="28">
        <v>64.83</v>
      </c>
      <c r="L7" s="28"/>
      <c r="M7" s="29">
        <v>2</v>
      </c>
      <c r="N7" s="30">
        <v>0</v>
      </c>
      <c r="O7" s="30">
        <v>4</v>
      </c>
      <c r="P7" s="30">
        <v>3</v>
      </c>
      <c r="Q7" s="30">
        <v>22</v>
      </c>
      <c r="R7" s="30">
        <v>2</v>
      </c>
      <c r="S7" s="30">
        <v>0</v>
      </c>
      <c r="T7" s="30">
        <v>0</v>
      </c>
      <c r="U7" s="30">
        <v>0</v>
      </c>
      <c r="V7" s="30">
        <v>6</v>
      </c>
      <c r="W7" s="30">
        <v>25</v>
      </c>
      <c r="X7" s="19">
        <v>32</v>
      </c>
      <c r="Y7" s="1"/>
    </row>
    <row r="8" spans="2:24" ht="12.75">
      <c r="B8" s="15" t="s">
        <v>201</v>
      </c>
      <c r="C8" s="15">
        <v>30</v>
      </c>
      <c r="D8" s="27">
        <v>3194.31</v>
      </c>
      <c r="E8" s="28">
        <f>D8/C8</f>
        <v>106.477</v>
      </c>
      <c r="F8" s="28">
        <v>483.22</v>
      </c>
      <c r="G8" s="28">
        <v>440</v>
      </c>
      <c r="H8" s="28">
        <v>125.03</v>
      </c>
      <c r="I8" s="28">
        <v>1801.65</v>
      </c>
      <c r="J8" s="28">
        <v>276.36</v>
      </c>
      <c r="K8" s="28">
        <v>68.05</v>
      </c>
      <c r="L8" s="28"/>
      <c r="M8" s="29">
        <v>1</v>
      </c>
      <c r="N8" s="30">
        <v>0</v>
      </c>
      <c r="O8" s="30">
        <v>2</v>
      </c>
      <c r="P8" s="30">
        <v>2</v>
      </c>
      <c r="Q8" s="30">
        <v>0</v>
      </c>
      <c r="R8" s="30">
        <v>10</v>
      </c>
      <c r="S8" s="30">
        <v>0</v>
      </c>
      <c r="T8" s="30">
        <v>1</v>
      </c>
      <c r="U8" s="30">
        <v>15</v>
      </c>
      <c r="V8" s="30">
        <v>10</v>
      </c>
      <c r="W8" s="30">
        <v>20</v>
      </c>
      <c r="X8" s="19">
        <v>11</v>
      </c>
    </row>
    <row r="9" spans="2:24" ht="12.75">
      <c r="B9" s="15" t="s">
        <v>202</v>
      </c>
      <c r="C9" s="15">
        <v>31</v>
      </c>
      <c r="D9" s="27">
        <v>2785.04</v>
      </c>
      <c r="E9" s="28">
        <f>D9/C9</f>
        <v>89.84</v>
      </c>
      <c r="F9" s="28">
        <v>811.2</v>
      </c>
      <c r="G9" s="28">
        <v>465.98</v>
      </c>
      <c r="H9" s="28">
        <v>380.13</v>
      </c>
      <c r="I9" s="28">
        <v>679.08</v>
      </c>
      <c r="J9" s="28">
        <v>238.8</v>
      </c>
      <c r="K9" s="28">
        <v>209.85</v>
      </c>
      <c r="L9" s="28"/>
      <c r="M9" s="29">
        <v>3</v>
      </c>
      <c r="N9" s="30">
        <v>0</v>
      </c>
      <c r="O9" s="30">
        <v>2</v>
      </c>
      <c r="P9" s="30">
        <v>1</v>
      </c>
      <c r="Q9" s="30"/>
      <c r="R9" s="30">
        <v>25</v>
      </c>
      <c r="S9" s="30"/>
      <c r="T9" s="30">
        <v>3</v>
      </c>
      <c r="U9" s="30">
        <v>0</v>
      </c>
      <c r="V9" s="30">
        <v>26</v>
      </c>
      <c r="W9" s="30">
        <v>5</v>
      </c>
      <c r="X9" s="19">
        <v>1</v>
      </c>
    </row>
    <row r="10" spans="2:24" ht="12.75">
      <c r="B10" s="15" t="s">
        <v>203</v>
      </c>
      <c r="C10" s="15">
        <v>30</v>
      </c>
      <c r="D10" s="27">
        <v>2728.36</v>
      </c>
      <c r="E10" s="28">
        <f>D10/C10</f>
        <v>90.94533333333334</v>
      </c>
      <c r="F10" s="28">
        <v>501.2</v>
      </c>
      <c r="G10" s="28">
        <v>466.75</v>
      </c>
      <c r="H10" s="28">
        <v>486.7</v>
      </c>
      <c r="I10" s="28">
        <v>907.72</v>
      </c>
      <c r="J10" s="28">
        <v>330.09</v>
      </c>
      <c r="K10" s="28">
        <v>35.91</v>
      </c>
      <c r="L10" s="28"/>
      <c r="M10" s="29">
        <v>7</v>
      </c>
      <c r="N10" s="30">
        <v>0</v>
      </c>
      <c r="O10" s="30">
        <v>2</v>
      </c>
      <c r="P10" s="30">
        <v>0</v>
      </c>
      <c r="Q10" s="30">
        <v>0</v>
      </c>
      <c r="R10" s="30">
        <v>26</v>
      </c>
      <c r="S10" s="30">
        <v>0</v>
      </c>
      <c r="T10" s="30">
        <v>2</v>
      </c>
      <c r="U10" s="30">
        <v>0</v>
      </c>
      <c r="V10" s="30">
        <v>15</v>
      </c>
      <c r="W10" s="30">
        <v>15</v>
      </c>
      <c r="X10" s="19">
        <v>4</v>
      </c>
    </row>
    <row r="11" spans="2:24" ht="12.75">
      <c r="B11" s="15" t="s">
        <v>204</v>
      </c>
      <c r="C11" s="15">
        <v>31</v>
      </c>
      <c r="D11" s="27">
        <v>2487.539</v>
      </c>
      <c r="E11" s="28">
        <f>D11/C11</f>
        <v>80.2431935483871</v>
      </c>
      <c r="F11" s="28">
        <v>607.5</v>
      </c>
      <c r="G11" s="28">
        <v>430.98</v>
      </c>
      <c r="H11" s="28">
        <v>1001.35</v>
      </c>
      <c r="I11" s="28">
        <v>88.8</v>
      </c>
      <c r="J11" s="28">
        <v>171.03</v>
      </c>
      <c r="K11" s="28">
        <v>187.89</v>
      </c>
      <c r="L11" s="28"/>
      <c r="M11" s="29"/>
      <c r="N11" s="30">
        <v>0</v>
      </c>
      <c r="O11" s="30">
        <v>0</v>
      </c>
      <c r="P11" s="30">
        <v>0</v>
      </c>
      <c r="Q11" s="30">
        <v>0</v>
      </c>
      <c r="R11" s="30">
        <v>22</v>
      </c>
      <c r="S11" s="30">
        <v>0</v>
      </c>
      <c r="T11" s="30">
        <v>9</v>
      </c>
      <c r="U11" s="30">
        <v>0</v>
      </c>
      <c r="V11" s="30">
        <v>16</v>
      </c>
      <c r="W11" s="30">
        <v>15</v>
      </c>
      <c r="X11" s="19">
        <v>0</v>
      </c>
    </row>
    <row r="12" spans="2:24" ht="12.75">
      <c r="B12" s="15" t="s">
        <v>205</v>
      </c>
      <c r="C12" s="15">
        <v>31</v>
      </c>
      <c r="D12" s="27">
        <v>2808.9948</v>
      </c>
      <c r="E12" s="28">
        <f>D12/C12</f>
        <v>90.61273548387096</v>
      </c>
      <c r="F12" s="28">
        <v>287.28</v>
      </c>
      <c r="G12" s="28">
        <v>942.7668</v>
      </c>
      <c r="H12" s="28">
        <v>217.843</v>
      </c>
      <c r="I12" s="28">
        <v>83.68</v>
      </c>
      <c r="J12" s="28">
        <v>156.76</v>
      </c>
      <c r="K12" s="28">
        <v>26.265</v>
      </c>
      <c r="L12" s="28">
        <v>1094.4</v>
      </c>
      <c r="M12" s="29">
        <v>1</v>
      </c>
      <c r="N12" s="30">
        <v>0</v>
      </c>
      <c r="O12" s="30">
        <v>0</v>
      </c>
      <c r="P12" s="30">
        <v>0</v>
      </c>
      <c r="Q12" s="30">
        <v>3</v>
      </c>
      <c r="R12" s="30">
        <v>28</v>
      </c>
      <c r="S12" s="30">
        <v>0</v>
      </c>
      <c r="T12" s="30">
        <v>0</v>
      </c>
      <c r="U12" s="30">
        <v>0</v>
      </c>
      <c r="V12" s="30">
        <v>17</v>
      </c>
      <c r="W12" s="30">
        <v>14</v>
      </c>
      <c r="X12" s="19">
        <v>7</v>
      </c>
    </row>
    <row r="13" spans="2:24" ht="12.75">
      <c r="B13" s="15" t="s">
        <v>206</v>
      </c>
      <c r="C13" s="15">
        <v>30</v>
      </c>
      <c r="D13" s="27">
        <v>1965.57</v>
      </c>
      <c r="E13" s="28">
        <f>D13/C13</f>
        <v>65.51899999999999</v>
      </c>
      <c r="F13" s="28">
        <v>477.67</v>
      </c>
      <c r="G13" s="28">
        <v>506.71</v>
      </c>
      <c r="H13" s="28">
        <v>412.65</v>
      </c>
      <c r="I13" s="28">
        <v>123.48</v>
      </c>
      <c r="J13" s="28">
        <v>279.53</v>
      </c>
      <c r="K13" s="28">
        <v>165.53</v>
      </c>
      <c r="L13" s="28"/>
      <c r="M13" s="29">
        <v>1</v>
      </c>
      <c r="N13" s="30">
        <v>0</v>
      </c>
      <c r="O13" s="30">
        <v>0</v>
      </c>
      <c r="P13" s="30">
        <v>0</v>
      </c>
      <c r="Q13" s="30">
        <v>0</v>
      </c>
      <c r="R13" s="30">
        <v>29</v>
      </c>
      <c r="S13" s="30">
        <v>0</v>
      </c>
      <c r="T13" s="30">
        <v>1</v>
      </c>
      <c r="U13" s="30">
        <v>0</v>
      </c>
      <c r="V13" s="30">
        <v>12</v>
      </c>
      <c r="W13" s="30">
        <v>18</v>
      </c>
      <c r="X13" s="19">
        <v>1</v>
      </c>
    </row>
    <row r="14" spans="2:24" ht="12.75">
      <c r="B14" s="15" t="s">
        <v>207</v>
      </c>
      <c r="C14" s="15">
        <v>31</v>
      </c>
      <c r="D14" s="27">
        <v>2330.09</v>
      </c>
      <c r="E14" s="28">
        <f>D14/C14</f>
        <v>75.1641935483871</v>
      </c>
      <c r="F14" s="28">
        <v>607.26</v>
      </c>
      <c r="G14" s="28">
        <v>568.9</v>
      </c>
      <c r="H14" s="28">
        <v>608.13</v>
      </c>
      <c r="I14" s="28">
        <v>97.86</v>
      </c>
      <c r="J14" s="28">
        <v>263.7</v>
      </c>
      <c r="K14" s="28">
        <v>11.95</v>
      </c>
      <c r="L14" s="28">
        <v>172.29</v>
      </c>
      <c r="M14" s="29">
        <v>0</v>
      </c>
      <c r="N14" s="30">
        <v>0</v>
      </c>
      <c r="O14" s="30">
        <v>1</v>
      </c>
      <c r="P14" s="30">
        <v>0</v>
      </c>
      <c r="Q14" s="30">
        <v>0</v>
      </c>
      <c r="R14" s="30">
        <v>28</v>
      </c>
      <c r="S14" s="30">
        <v>0</v>
      </c>
      <c r="T14" s="30">
        <v>2</v>
      </c>
      <c r="U14" s="30">
        <v>0</v>
      </c>
      <c r="V14" s="30">
        <v>14</v>
      </c>
      <c r="W14" s="30">
        <v>17</v>
      </c>
      <c r="X14" s="19">
        <v>0</v>
      </c>
    </row>
    <row r="15" spans="2:24" ht="12.75">
      <c r="B15" s="15" t="s">
        <v>193</v>
      </c>
      <c r="C15" s="15">
        <v>30</v>
      </c>
      <c r="D15" s="27">
        <v>2261.64</v>
      </c>
      <c r="E15" s="28">
        <f>D15/C15</f>
        <v>75.38799999999999</v>
      </c>
      <c r="F15" s="28">
        <v>825.56889523988</v>
      </c>
      <c r="G15" s="28">
        <v>533.29</v>
      </c>
      <c r="H15" s="28">
        <v>446.297034295352</v>
      </c>
      <c r="I15" s="28">
        <v>189.18</v>
      </c>
      <c r="J15" s="28">
        <v>245.78</v>
      </c>
      <c r="K15" s="28">
        <v>14.36</v>
      </c>
      <c r="L15" s="28">
        <v>7.17</v>
      </c>
      <c r="M15" s="29">
        <v>0</v>
      </c>
      <c r="N15" s="30">
        <v>0</v>
      </c>
      <c r="O15" s="30">
        <v>0</v>
      </c>
      <c r="P15" s="30">
        <v>0</v>
      </c>
      <c r="Q15" s="30">
        <v>3</v>
      </c>
      <c r="R15" s="30">
        <v>27</v>
      </c>
      <c r="S15" s="30">
        <v>0</v>
      </c>
      <c r="T15" s="30">
        <v>0</v>
      </c>
      <c r="U15" s="30">
        <v>0</v>
      </c>
      <c r="V15" s="30">
        <v>26</v>
      </c>
      <c r="W15" s="30">
        <v>4</v>
      </c>
      <c r="X15" s="19">
        <v>0</v>
      </c>
    </row>
    <row r="16" spans="2:24" ht="12.75">
      <c r="B16" s="15" t="s">
        <v>195</v>
      </c>
      <c r="C16" s="15">
        <v>31</v>
      </c>
      <c r="D16" s="27">
        <v>1157.47</v>
      </c>
      <c r="E16" s="28">
        <f>D16/C16</f>
        <v>37.33774193548387</v>
      </c>
      <c r="F16" s="28">
        <v>258.22</v>
      </c>
      <c r="G16" s="28">
        <v>309.63</v>
      </c>
      <c r="H16" s="28">
        <v>60.77</v>
      </c>
      <c r="I16" s="28">
        <v>82.18</v>
      </c>
      <c r="J16" s="28">
        <v>369.53</v>
      </c>
      <c r="K16" s="28">
        <v>77.13</v>
      </c>
      <c r="L16" s="28"/>
      <c r="M16" s="29">
        <v>2</v>
      </c>
      <c r="N16" s="30">
        <v>0</v>
      </c>
      <c r="O16" s="30">
        <v>1</v>
      </c>
      <c r="P16" s="30">
        <v>0</v>
      </c>
      <c r="Q16" s="30">
        <v>0</v>
      </c>
      <c r="R16" s="30">
        <v>30</v>
      </c>
      <c r="S16" s="30">
        <v>0</v>
      </c>
      <c r="T16" s="30">
        <v>0</v>
      </c>
      <c r="U16" s="30">
        <v>0</v>
      </c>
      <c r="V16" s="30">
        <v>30</v>
      </c>
      <c r="W16" s="30">
        <v>1</v>
      </c>
      <c r="X16" s="19">
        <v>0</v>
      </c>
    </row>
    <row r="17" spans="2:23" ht="12.75">
      <c r="B17" s="15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2:23" ht="12.75">
      <c r="B18" s="15"/>
      <c r="D18" s="27"/>
      <c r="E18" s="28"/>
      <c r="F18" s="28"/>
      <c r="G18" s="28"/>
      <c r="H18" s="28"/>
      <c r="I18" s="28"/>
      <c r="J18" s="28"/>
      <c r="K18" s="28"/>
      <c r="L18" s="28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2:23" ht="12.75">
      <c r="B19" s="15"/>
      <c r="D19" s="27"/>
      <c r="E19" s="28"/>
      <c r="F19" s="28"/>
      <c r="G19" s="28"/>
      <c r="H19" s="28"/>
      <c r="I19" s="28"/>
      <c r="J19" s="28"/>
      <c r="K19" s="28"/>
      <c r="L19" s="28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2:23" ht="12.75">
      <c r="B20" s="15"/>
      <c r="D20" s="27"/>
      <c r="E20" s="28"/>
      <c r="F20" s="28"/>
      <c r="G20" s="28"/>
      <c r="H20" s="28"/>
      <c r="I20" s="28"/>
      <c r="J20" s="28"/>
      <c r="K20" s="28"/>
      <c r="L20" s="28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4:23" ht="12.75">
      <c r="D21" s="27"/>
      <c r="E21" s="28"/>
      <c r="F21" s="28"/>
      <c r="G21" s="28"/>
      <c r="H21" s="28"/>
      <c r="I21" s="28"/>
      <c r="J21" s="28"/>
      <c r="K21" s="28"/>
      <c r="L21" s="28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5:23" ht="12.75">
      <c r="E22" s="28"/>
      <c r="F22" s="28"/>
      <c r="G22" s="28"/>
      <c r="H22" s="28"/>
      <c r="I22" s="28"/>
      <c r="J22" s="28"/>
      <c r="K22" s="28"/>
      <c r="L22" s="28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2:25" s="11" customFormat="1" ht="12.75">
      <c r="B23" s="15" t="s">
        <v>208</v>
      </c>
      <c r="C23" s="15">
        <f>SUM(C2:C21)</f>
        <v>460</v>
      </c>
      <c r="D23" s="33">
        <f>SUM(D2:D21)</f>
        <v>35000.6038</v>
      </c>
      <c r="E23" s="28">
        <f>D23/C23</f>
        <v>76.08826913043478</v>
      </c>
      <c r="F23" s="28">
        <f>SUM(F2:F21)</f>
        <v>8364.158895239882</v>
      </c>
      <c r="G23" s="28">
        <f>SUM(G2:G21)</f>
        <v>9232.63365</v>
      </c>
      <c r="H23" s="28">
        <f>SUM(H2:H21)</f>
        <v>6886.660034295352</v>
      </c>
      <c r="I23" s="28">
        <f>SUM(I2:I21)</f>
        <v>4934.900000000001</v>
      </c>
      <c r="J23" s="28">
        <f>SUM(J2:J21)</f>
        <v>3134.18</v>
      </c>
      <c r="K23" s="28">
        <f>SUM(K2:K21)</f>
        <v>1174.0549999999998</v>
      </c>
      <c r="L23" s="28">
        <f>SUM(L2:L21)</f>
        <v>1273.8600000000001</v>
      </c>
      <c r="M23" s="29"/>
      <c r="N23" s="30">
        <f>SUM(N2:N21)</f>
        <v>25</v>
      </c>
      <c r="O23" s="30">
        <f>SUM(O2:O21)</f>
        <v>53</v>
      </c>
      <c r="P23" s="30">
        <f>SUM(P5:P21)</f>
        <v>14</v>
      </c>
      <c r="Q23" s="30">
        <f>SUM(Q2:Q21)</f>
        <v>55</v>
      </c>
      <c r="R23" s="30">
        <f>SUM(R2:R21)</f>
        <v>248</v>
      </c>
      <c r="S23" s="30">
        <f>SUM(S2:S21)</f>
        <v>1</v>
      </c>
      <c r="T23" s="30">
        <f>SUM(T2:T21)</f>
        <v>22</v>
      </c>
      <c r="U23" s="30">
        <f>SUM(U2:U21)</f>
        <v>41</v>
      </c>
      <c r="V23" s="30">
        <f>SUM(V2:V21)</f>
        <v>223</v>
      </c>
      <c r="W23" s="30">
        <f>SUM(W2:W21)</f>
        <v>237</v>
      </c>
      <c r="X23" s="19">
        <f>SUM(X2:X22)</f>
        <v>117</v>
      </c>
      <c r="Y23" s="1"/>
    </row>
    <row r="24" spans="2:25" s="11" customFormat="1" ht="12.75">
      <c r="B24" s="15" t="s">
        <v>209</v>
      </c>
      <c r="C24" s="15"/>
      <c r="D24" s="33">
        <f>D23/$C$23</f>
        <v>76.08826913043478</v>
      </c>
      <c r="E24" s="33"/>
      <c r="F24" s="34">
        <f>F23/$C$23</f>
        <v>18.1829541200867</v>
      </c>
      <c r="G24" s="34">
        <f>G23/$C$23</f>
        <v>20.070942717391304</v>
      </c>
      <c r="H24" s="34">
        <f>H23/$C$23</f>
        <v>14.971000074555112</v>
      </c>
      <c r="I24" s="34">
        <f>I23/$C$23</f>
        <v>10.72804347826087</v>
      </c>
      <c r="J24" s="34">
        <f>J23/$C$23</f>
        <v>6.813434782608695</v>
      </c>
      <c r="K24" s="34">
        <f>K23/$C$23</f>
        <v>2.5522934782608693</v>
      </c>
      <c r="L24" s="34">
        <f>L23/$C$23</f>
        <v>2.7692608695652177</v>
      </c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9"/>
      <c r="Y24" s="1"/>
    </row>
    <row r="25" spans="2:23" ht="12.75">
      <c r="B25" s="14" t="s">
        <v>210</v>
      </c>
      <c r="C25" s="15">
        <f>COUNTA(B2:B22)</f>
        <v>15</v>
      </c>
      <c r="D25" s="35">
        <f>D23/$C$25</f>
        <v>2333.3735866666666</v>
      </c>
      <c r="F25" s="36">
        <f>F23/$C$25</f>
        <v>557.6105930159921</v>
      </c>
      <c r="G25" s="36">
        <f>G23/$C$25</f>
        <v>615.50891</v>
      </c>
      <c r="H25" s="36">
        <f>H23/$C$25</f>
        <v>459.11066895302343</v>
      </c>
      <c r="I25" s="36">
        <f>I23/$C$25</f>
        <v>328.9933333333334</v>
      </c>
      <c r="J25" s="36">
        <f>J23/$C$25</f>
        <v>208.9453333333333</v>
      </c>
      <c r="K25" s="36">
        <f>K23/$C$25</f>
        <v>78.27033333333333</v>
      </c>
      <c r="L25" s="36">
        <f>L23/$C$25</f>
        <v>84.924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4:23" ht="12.75"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47" ht="12.75">
      <c r="M47" s="17">
        <f>AH58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38"/>
  <sheetViews>
    <sheetView zoomScale="90" zoomScaleNormal="90" workbookViewId="0" topLeftCell="A13">
      <pane xSplit="20" topLeftCell="AD13" activePane="topRight" state="frozen"/>
      <selection pane="topLeft" activeCell="A13" sqref="A13"/>
      <selection pane="topRight" activeCell="AK31" sqref="AK31"/>
    </sheetView>
  </sheetViews>
  <sheetFormatPr defaultColWidth="12.57421875" defaultRowHeight="12.75"/>
  <cols>
    <col min="1" max="1" width="8.71093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5" width="5.57421875" style="1" customWidth="1"/>
    <col min="16" max="16" width="7.57421875" style="1" customWidth="1"/>
    <col min="17" max="17" width="3.57421875" style="1" customWidth="1"/>
    <col min="18" max="18" width="9.28125" style="1" customWidth="1"/>
    <col min="19" max="19" width="7.28125" style="1" customWidth="1"/>
    <col min="20" max="20" width="7.140625" style="1" customWidth="1"/>
    <col min="21" max="21" width="3.7109375" style="1" customWidth="1"/>
    <col min="22" max="22" width="16.7109375" style="1" customWidth="1"/>
    <col min="23" max="23" width="7.57421875" style="1" customWidth="1"/>
    <col min="24" max="24" width="7.28125" style="2" customWidth="1"/>
    <col min="25" max="25" width="1.57421875" style="1" customWidth="1"/>
    <col min="26" max="26" width="3.00390625" style="1" customWidth="1"/>
    <col min="27" max="27" width="41.7109375" style="7" customWidth="1"/>
    <col min="28" max="28" width="2.00390625" style="1" customWidth="1"/>
    <col min="29" max="29" width="18.421875" style="1" customWidth="1"/>
    <col min="30" max="30" width="12.8515625" style="1" customWidth="1"/>
    <col min="31" max="31" width="1.57421875" style="1" customWidth="1"/>
    <col min="32" max="32" width="15.28125" style="1" customWidth="1"/>
    <col min="33" max="33" width="15.7109375" style="1" customWidth="1"/>
    <col min="34" max="34" width="2.140625" style="1" customWidth="1"/>
    <col min="35" max="35" width="25.421875" style="1" customWidth="1"/>
    <col min="36" max="36" width="11.57421875" style="1" customWidth="1"/>
    <col min="37" max="37" width="2.57421875" style="1" customWidth="1"/>
    <col min="38" max="38" width="15.8515625" style="1" customWidth="1"/>
    <col min="39" max="39" width="11.57421875" style="1" customWidth="1"/>
    <col min="40" max="40" width="2.8515625" style="1" customWidth="1"/>
    <col min="41" max="41" width="13.8515625" style="1" customWidth="1"/>
    <col min="42" max="16384" width="11.57421875" style="1" customWidth="1"/>
  </cols>
  <sheetData>
    <row r="1" spans="1:39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15</v>
      </c>
      <c r="P1" s="37" t="s">
        <v>17</v>
      </c>
      <c r="Q1" s="37" t="s">
        <v>18</v>
      </c>
      <c r="R1" s="37" t="s">
        <v>19</v>
      </c>
      <c r="S1" s="37" t="s">
        <v>20</v>
      </c>
      <c r="T1" s="1" t="s">
        <v>211</v>
      </c>
      <c r="V1" s="38" t="s">
        <v>22</v>
      </c>
      <c r="W1" s="38" t="s">
        <v>23</v>
      </c>
      <c r="X1" s="39" t="s">
        <v>24</v>
      </c>
      <c r="Z1" s="1" t="s">
        <v>25</v>
      </c>
      <c r="AA1" s="1" t="s">
        <v>212</v>
      </c>
      <c r="AI1" s="40"/>
      <c r="AJ1" s="41"/>
      <c r="AL1" s="42"/>
      <c r="AM1" s="42"/>
    </row>
    <row r="2" spans="1:42" ht="12.75">
      <c r="A2" s="3">
        <v>42276</v>
      </c>
      <c r="B2" s="1">
        <f>700+40</f>
        <v>740</v>
      </c>
      <c r="C2" s="1">
        <f>B2*W2</f>
        <v>185</v>
      </c>
      <c r="D2" s="1">
        <v>55</v>
      </c>
      <c r="E2" s="1">
        <f>D2*W2</f>
        <v>13.75</v>
      </c>
      <c r="F2" s="1">
        <v>135</v>
      </c>
      <c r="G2" s="1">
        <f>F2*W2</f>
        <v>33.75</v>
      </c>
      <c r="I2" s="1">
        <f>H2*W2</f>
        <v>0</v>
      </c>
      <c r="J2" s="1">
        <v>70</v>
      </c>
      <c r="K2" s="1">
        <f>J2*W2</f>
        <v>17.5</v>
      </c>
      <c r="M2" s="1">
        <f>L2*W2</f>
        <v>0</v>
      </c>
      <c r="N2" s="37"/>
      <c r="O2" s="37"/>
      <c r="P2" s="37"/>
      <c r="Q2" s="37"/>
      <c r="R2" s="37"/>
      <c r="S2" s="37" t="s">
        <v>26</v>
      </c>
      <c r="V2" s="38">
        <f>B2+D2+F2+H2+J2+L2</f>
        <v>1000</v>
      </c>
      <c r="W2" s="38">
        <v>0.25</v>
      </c>
      <c r="X2" s="43">
        <f>V2*W2</f>
        <v>250</v>
      </c>
      <c r="Z2" s="1">
        <f>1</f>
        <v>1</v>
      </c>
      <c r="AA2" s="7" t="s">
        <v>213</v>
      </c>
      <c r="AC2" s="44" t="s">
        <v>28</v>
      </c>
      <c r="AD2" s="44">
        <f>SUM(X2:X1000)</f>
        <v>3758.49</v>
      </c>
      <c r="AE2" s="44"/>
      <c r="AF2" s="44" t="s">
        <v>29</v>
      </c>
      <c r="AG2" s="45">
        <f>AD2/AD5</f>
        <v>113.89363636363636</v>
      </c>
      <c r="AI2" s="46" t="s">
        <v>93</v>
      </c>
      <c r="AJ2" s="47">
        <f>COUNTBLANK(L2:L46)-COUNTBLANK(A2:A46)</f>
        <v>20</v>
      </c>
      <c r="AK2" s="40"/>
      <c r="AL2" s="48" t="s">
        <v>31</v>
      </c>
      <c r="AM2" s="41">
        <f>SUMIF(Z2:Z50,"=1",X2:X50)</f>
        <v>2592</v>
      </c>
      <c r="AN2" s="7"/>
      <c r="AO2" s="40" t="s">
        <v>214</v>
      </c>
      <c r="AP2" s="41">
        <f>SUMIF(Z2:Z50,"=2",X2:X50)</f>
        <v>1166.49</v>
      </c>
    </row>
    <row r="3" spans="1:42" ht="12.75">
      <c r="A3" s="3">
        <v>42277</v>
      </c>
      <c r="B3" s="1">
        <v>10</v>
      </c>
      <c r="C3" s="1">
        <f>B3*W3</f>
        <v>2.5</v>
      </c>
      <c r="D3" s="1">
        <v>50</v>
      </c>
      <c r="E3" s="1">
        <f>D3*W3</f>
        <v>12.5</v>
      </c>
      <c r="G3" s="1">
        <f>F3*W3</f>
        <v>0</v>
      </c>
      <c r="I3" s="1">
        <f>H3*W3</f>
        <v>0</v>
      </c>
      <c r="K3" s="1">
        <f>J3*W3</f>
        <v>0</v>
      </c>
      <c r="M3" s="1">
        <f>L3*W3</f>
        <v>0</v>
      </c>
      <c r="N3" s="37"/>
      <c r="O3" s="37"/>
      <c r="P3" s="37"/>
      <c r="Q3" s="37" t="s">
        <v>26</v>
      </c>
      <c r="R3" s="37"/>
      <c r="S3" s="37"/>
      <c r="V3" s="38">
        <f>B3+D3+F3+H3+J3+L3</f>
        <v>60</v>
      </c>
      <c r="W3" s="38">
        <v>0.25</v>
      </c>
      <c r="X3" s="43">
        <f>V3*W3</f>
        <v>15</v>
      </c>
      <c r="Z3" s="1">
        <f>1</f>
        <v>1</v>
      </c>
      <c r="AA3" s="7" t="s">
        <v>215</v>
      </c>
      <c r="AC3" s="49"/>
      <c r="AD3" s="44"/>
      <c r="AE3" s="44"/>
      <c r="AF3" s="49"/>
      <c r="AG3" s="45"/>
      <c r="AI3" s="46" t="s">
        <v>95</v>
      </c>
      <c r="AJ3" s="47">
        <f>COUNT(L2:L42)</f>
        <v>13</v>
      </c>
      <c r="AK3" s="46"/>
      <c r="AL3" s="42" t="s">
        <v>35</v>
      </c>
      <c r="AM3" s="47">
        <f>_xlfn.COUNTIFS(A2:A50,"&lt;&gt;''",Z2:Z50,"=1")</f>
        <v>30</v>
      </c>
      <c r="AN3" s="7"/>
      <c r="AO3" s="46" t="s">
        <v>216</v>
      </c>
      <c r="AP3" s="47">
        <f>_xlfn.COUNTIFS(A2:A50,"&lt;&gt;''",Z2:Z50,"=2")</f>
        <v>3</v>
      </c>
    </row>
    <row r="4" spans="1:42" ht="12.75">
      <c r="A4" s="3">
        <v>42278</v>
      </c>
      <c r="B4" s="1">
        <v>100</v>
      </c>
      <c r="C4" s="1">
        <f>B4*W4</f>
        <v>25</v>
      </c>
      <c r="D4" s="1">
        <f>12+135</f>
        <v>147</v>
      </c>
      <c r="E4" s="1">
        <f>D4*W4</f>
        <v>36.75</v>
      </c>
      <c r="F4" s="1">
        <v>40</v>
      </c>
      <c r="G4" s="1">
        <f>F4*W4</f>
        <v>10</v>
      </c>
      <c r="I4" s="1">
        <f>H4*W4</f>
        <v>0</v>
      </c>
      <c r="K4" s="1">
        <f>J4*W4</f>
        <v>0</v>
      </c>
      <c r="M4" s="1">
        <f>L4*W4</f>
        <v>0</v>
      </c>
      <c r="N4" s="37"/>
      <c r="O4" s="37"/>
      <c r="P4" s="37"/>
      <c r="Q4" s="37" t="s">
        <v>26</v>
      </c>
      <c r="R4" s="37"/>
      <c r="S4" s="37"/>
      <c r="V4" s="38">
        <f>B4+D4+F4+H4+J4+L4</f>
        <v>287</v>
      </c>
      <c r="W4" s="38">
        <v>0.25</v>
      </c>
      <c r="X4" s="43">
        <f>V4*W4</f>
        <v>71.75</v>
      </c>
      <c r="Z4" s="1">
        <v>1</v>
      </c>
      <c r="AA4" s="7" t="s">
        <v>217</v>
      </c>
      <c r="AC4" s="44"/>
      <c r="AD4" s="44"/>
      <c r="AE4" s="44"/>
      <c r="AF4" s="44"/>
      <c r="AG4" s="44"/>
      <c r="AI4" s="46" t="s">
        <v>218</v>
      </c>
      <c r="AJ4" s="47">
        <f>COUNTA(Q2:Q55)</f>
        <v>10</v>
      </c>
      <c r="AK4" s="50"/>
      <c r="AL4" s="51" t="s">
        <v>39</v>
      </c>
      <c r="AM4" s="52">
        <f>AM2/AM3</f>
        <v>86.4</v>
      </c>
      <c r="AN4" s="7"/>
      <c r="AO4" s="50" t="s">
        <v>219</v>
      </c>
      <c r="AP4" s="52">
        <f>AP2/AP3</f>
        <v>388.83</v>
      </c>
    </row>
    <row r="5" spans="1:36" ht="12.75">
      <c r="A5" s="3">
        <v>42279</v>
      </c>
      <c r="B5" s="1">
        <v>55</v>
      </c>
      <c r="C5" s="1">
        <f>B5*W5</f>
        <v>13.75</v>
      </c>
      <c r="D5" s="1">
        <v>150</v>
      </c>
      <c r="E5" s="1">
        <f>D5*W5</f>
        <v>37.5</v>
      </c>
      <c r="G5" s="1">
        <f>F5*W5</f>
        <v>0</v>
      </c>
      <c r="I5" s="1">
        <f>H5*W5</f>
        <v>0</v>
      </c>
      <c r="K5" s="1">
        <f>J5*W5</f>
        <v>0</v>
      </c>
      <c r="M5" s="1">
        <f>L5*W5</f>
        <v>0</v>
      </c>
      <c r="N5" s="37"/>
      <c r="O5" s="37"/>
      <c r="P5" s="37"/>
      <c r="Q5" s="37" t="s">
        <v>26</v>
      </c>
      <c r="R5" s="37"/>
      <c r="S5" s="37"/>
      <c r="V5" s="38">
        <f>B5+D5+F5+H5+J5+L5</f>
        <v>205</v>
      </c>
      <c r="W5" s="38">
        <v>0.25</v>
      </c>
      <c r="X5" s="43">
        <f>V5*W5</f>
        <v>51.25</v>
      </c>
      <c r="Z5" s="1">
        <v>1</v>
      </c>
      <c r="AA5" s="7" t="s">
        <v>220</v>
      </c>
      <c r="AC5" s="44" t="s">
        <v>42</v>
      </c>
      <c r="AD5" s="44">
        <f>COUNTA(A2:A355)</f>
        <v>33</v>
      </c>
      <c r="AE5" s="44"/>
      <c r="AF5" s="44"/>
      <c r="AG5" s="44"/>
      <c r="AI5" s="46"/>
      <c r="AJ5" s="53"/>
    </row>
    <row r="6" spans="1:36" ht="12.75">
      <c r="A6" s="3">
        <v>42280</v>
      </c>
      <c r="B6" s="1">
        <v>270</v>
      </c>
      <c r="C6" s="1">
        <f>B6*W6</f>
        <v>67.5</v>
      </c>
      <c r="D6" s="1">
        <v>50</v>
      </c>
      <c r="E6" s="1">
        <f>D6*W6</f>
        <v>12.5</v>
      </c>
      <c r="G6" s="1">
        <f>F6*W6</f>
        <v>0</v>
      </c>
      <c r="I6" s="1">
        <f>H6*W6</f>
        <v>0</v>
      </c>
      <c r="K6" s="1">
        <f>J6*W6</f>
        <v>0</v>
      </c>
      <c r="L6" s="1">
        <v>300</v>
      </c>
      <c r="M6" s="1">
        <f>L6*W6</f>
        <v>75</v>
      </c>
      <c r="N6" s="37"/>
      <c r="O6" s="37" t="s">
        <v>26</v>
      </c>
      <c r="P6" s="37"/>
      <c r="Q6" s="37"/>
      <c r="R6" s="37"/>
      <c r="S6" s="37"/>
      <c r="V6" s="38">
        <f>B6+D6+F6+H6+J6+L6</f>
        <v>620</v>
      </c>
      <c r="W6" s="38">
        <v>0.25</v>
      </c>
      <c r="X6" s="43">
        <f>V6*W6</f>
        <v>155</v>
      </c>
      <c r="Z6" s="1">
        <v>1</v>
      </c>
      <c r="AA6" s="7" t="s">
        <v>221</v>
      </c>
      <c r="AC6" s="49"/>
      <c r="AD6" s="44"/>
      <c r="AE6" s="44"/>
      <c r="AF6" s="44"/>
      <c r="AG6" s="44"/>
      <c r="AI6" s="46"/>
      <c r="AJ6" s="47"/>
    </row>
    <row r="7" spans="1:36" ht="12.75">
      <c r="A7" s="3">
        <v>42281</v>
      </c>
      <c r="C7" s="1">
        <f>B7*W7</f>
        <v>0</v>
      </c>
      <c r="D7" s="1">
        <v>68</v>
      </c>
      <c r="E7" s="1">
        <f>D7*W7</f>
        <v>17</v>
      </c>
      <c r="G7" s="1">
        <f>F7*W7</f>
        <v>0</v>
      </c>
      <c r="I7" s="1">
        <f>H7*W7</f>
        <v>0</v>
      </c>
      <c r="K7" s="1">
        <f>J7*W7</f>
        <v>0</v>
      </c>
      <c r="M7" s="1">
        <f>L7*W7</f>
        <v>0</v>
      </c>
      <c r="N7" s="37"/>
      <c r="O7" s="37"/>
      <c r="P7" s="37"/>
      <c r="Q7" s="37" t="s">
        <v>26</v>
      </c>
      <c r="R7" s="37"/>
      <c r="S7" s="37"/>
      <c r="V7" s="38">
        <f>B7+D7+F7+H7+J7+L7</f>
        <v>68</v>
      </c>
      <c r="W7" s="38">
        <v>0.25</v>
      </c>
      <c r="X7" s="43">
        <f>V7*W7</f>
        <v>17</v>
      </c>
      <c r="Z7" s="1">
        <v>1</v>
      </c>
      <c r="AA7" s="7" t="s">
        <v>222</v>
      </c>
      <c r="AC7" s="44"/>
      <c r="AD7" s="44"/>
      <c r="AE7" s="44"/>
      <c r="AF7" s="44"/>
      <c r="AG7" s="44"/>
      <c r="AI7" s="46" t="s">
        <v>223</v>
      </c>
      <c r="AJ7" s="47"/>
    </row>
    <row r="8" spans="1:36" ht="12.75">
      <c r="A8" s="3">
        <v>42282</v>
      </c>
      <c r="C8" s="1">
        <f>B8*W8</f>
        <v>0</v>
      </c>
      <c r="D8" s="1">
        <v>270</v>
      </c>
      <c r="E8" s="1">
        <f>D8*W8</f>
        <v>67.5</v>
      </c>
      <c r="G8" s="1">
        <f>F8*W8</f>
        <v>0</v>
      </c>
      <c r="I8" s="1">
        <f>H8*W8</f>
        <v>0</v>
      </c>
      <c r="K8" s="1">
        <f>J8*W8</f>
        <v>0</v>
      </c>
      <c r="M8" s="1">
        <f>L8*W8</f>
        <v>0</v>
      </c>
      <c r="N8" s="37"/>
      <c r="O8" s="37"/>
      <c r="P8" s="37"/>
      <c r="Q8" s="37" t="s">
        <v>26</v>
      </c>
      <c r="R8" s="37"/>
      <c r="S8" s="37"/>
      <c r="V8" s="38">
        <f>B8+D8+F8+H8+J8+L8</f>
        <v>270</v>
      </c>
      <c r="W8" s="38">
        <v>0.25</v>
      </c>
      <c r="X8" s="43">
        <f>V8*W8</f>
        <v>67.5</v>
      </c>
      <c r="Z8" s="1">
        <v>1</v>
      </c>
      <c r="AA8" s="7" t="s">
        <v>222</v>
      </c>
      <c r="AC8" s="44" t="s">
        <v>48</v>
      </c>
      <c r="AD8" s="44">
        <f>SUM(M2:M1000)</f>
        <v>930.3299999999999</v>
      </c>
      <c r="AE8" s="44"/>
      <c r="AF8" s="44" t="s">
        <v>224</v>
      </c>
      <c r="AG8" s="44">
        <f>AD8/$AD$5</f>
        <v>28.191818181818178</v>
      </c>
      <c r="AI8" s="46" t="s">
        <v>225</v>
      </c>
      <c r="AJ8" s="53"/>
    </row>
    <row r="9" spans="1:36" ht="12.75">
      <c r="A9" s="3">
        <v>42283</v>
      </c>
      <c r="B9" s="1">
        <v>400</v>
      </c>
      <c r="C9" s="1">
        <f>B9*W9</f>
        <v>100</v>
      </c>
      <c r="D9" s="1">
        <v>22</v>
      </c>
      <c r="E9" s="1">
        <f>D9*W9</f>
        <v>5.5</v>
      </c>
      <c r="G9" s="1">
        <f>F9*W9</f>
        <v>0</v>
      </c>
      <c r="I9" s="1">
        <f>H9*W9</f>
        <v>0</v>
      </c>
      <c r="K9" s="1">
        <f>J9*W9</f>
        <v>0</v>
      </c>
      <c r="L9" s="1">
        <v>140</v>
      </c>
      <c r="M9" s="1">
        <f>L9*W9</f>
        <v>35</v>
      </c>
      <c r="N9" s="37" t="s">
        <v>26</v>
      </c>
      <c r="O9" s="37"/>
      <c r="P9" s="37"/>
      <c r="Q9" s="37"/>
      <c r="R9" s="37"/>
      <c r="S9" s="37"/>
      <c r="V9" s="38">
        <f>B9+D9+F9+H9+J9+L9</f>
        <v>562</v>
      </c>
      <c r="W9" s="38">
        <v>0.25</v>
      </c>
      <c r="X9" s="43">
        <f>V9*W9</f>
        <v>140.5</v>
      </c>
      <c r="Z9" s="1">
        <v>1</v>
      </c>
      <c r="AA9" s="7" t="s">
        <v>226</v>
      </c>
      <c r="AC9" s="44" t="s">
        <v>50</v>
      </c>
      <c r="AD9" s="44">
        <f>SUM(C2:C1000)</f>
        <v>1667.23</v>
      </c>
      <c r="AE9" s="44"/>
      <c r="AF9" s="44" t="s">
        <v>227</v>
      </c>
      <c r="AG9" s="44">
        <f>AD9/$AD$5</f>
        <v>50.52212121212121</v>
      </c>
      <c r="AI9" s="50"/>
      <c r="AJ9" s="52"/>
    </row>
    <row r="10" spans="1:33" ht="12.75">
      <c r="A10" s="3">
        <v>42284</v>
      </c>
      <c r="C10" s="1">
        <f>B10*W10</f>
        <v>0</v>
      </c>
      <c r="E10" s="1">
        <f>D10*W10</f>
        <v>0</v>
      </c>
      <c r="G10" s="1">
        <f>F10*W10</f>
        <v>0</v>
      </c>
      <c r="H10" s="1">
        <v>300</v>
      </c>
      <c r="I10" s="1">
        <f>H10*W10</f>
        <v>75</v>
      </c>
      <c r="K10" s="1">
        <f>J10*W10</f>
        <v>0</v>
      </c>
      <c r="L10" s="1">
        <v>100</v>
      </c>
      <c r="M10" s="1">
        <f>L10*W10</f>
        <v>25</v>
      </c>
      <c r="N10" s="37" t="s">
        <v>26</v>
      </c>
      <c r="O10" s="37"/>
      <c r="P10" s="37"/>
      <c r="Q10" s="37"/>
      <c r="R10" s="37"/>
      <c r="S10" s="37"/>
      <c r="V10" s="38">
        <f>B10+D10+F10+H10+J10+L10</f>
        <v>400</v>
      </c>
      <c r="W10" s="38">
        <v>0.25</v>
      </c>
      <c r="X10" s="43">
        <f>V10*W10</f>
        <v>100</v>
      </c>
      <c r="Z10" s="1">
        <v>1</v>
      </c>
      <c r="AA10" s="7" t="s">
        <v>226</v>
      </c>
      <c r="AC10" s="44" t="s">
        <v>51</v>
      </c>
      <c r="AD10" s="44">
        <f>SUM(E2:E1000)</f>
        <v>824.28</v>
      </c>
      <c r="AE10" s="44"/>
      <c r="AF10" s="44" t="s">
        <v>228</v>
      </c>
      <c r="AG10" s="44">
        <f>AD10/$AD$5</f>
        <v>24.978181818181817</v>
      </c>
    </row>
    <row r="11" spans="1:33" ht="12.75">
      <c r="A11" s="3">
        <v>42285</v>
      </c>
      <c r="C11" s="1">
        <f>B11*W11</f>
        <v>0</v>
      </c>
      <c r="D11" s="1">
        <v>36</v>
      </c>
      <c r="E11" s="1">
        <f>D11*W11</f>
        <v>9</v>
      </c>
      <c r="G11" s="1">
        <f>F11*W11</f>
        <v>0</v>
      </c>
      <c r="H11" s="1">
        <v>100</v>
      </c>
      <c r="I11" s="1">
        <f>H11*W11</f>
        <v>25</v>
      </c>
      <c r="K11" s="1">
        <f>J11*W11</f>
        <v>0</v>
      </c>
      <c r="L11" s="1">
        <v>100</v>
      </c>
      <c r="M11" s="1">
        <f>L11*W11</f>
        <v>25</v>
      </c>
      <c r="N11" s="37" t="s">
        <v>26</v>
      </c>
      <c r="O11" s="37"/>
      <c r="P11" s="37"/>
      <c r="Q11" s="37"/>
      <c r="R11" s="37"/>
      <c r="S11" s="37"/>
      <c r="V11" s="38">
        <f>B11+D11+F11+H11+J11+L11</f>
        <v>236</v>
      </c>
      <c r="W11" s="38">
        <v>0.25</v>
      </c>
      <c r="X11" s="43">
        <f>V11*W11</f>
        <v>59</v>
      </c>
      <c r="Z11" s="1">
        <v>1</v>
      </c>
      <c r="AA11" s="7" t="s">
        <v>226</v>
      </c>
      <c r="AC11" s="44" t="s">
        <v>54</v>
      </c>
      <c r="AD11" s="44">
        <f>SUM(G2:G1000)</f>
        <v>143.15</v>
      </c>
      <c r="AE11" s="44"/>
      <c r="AF11" s="44" t="s">
        <v>229</v>
      </c>
      <c r="AG11" s="44">
        <f>AD11/$AD$5</f>
        <v>4.337878787878788</v>
      </c>
    </row>
    <row r="12" spans="1:33" ht="12.75">
      <c r="A12" s="3">
        <v>42286</v>
      </c>
      <c r="B12" s="1">
        <v>380</v>
      </c>
      <c r="C12" s="1">
        <f>B12*W12</f>
        <v>95</v>
      </c>
      <c r="D12" s="1">
        <v>35</v>
      </c>
      <c r="E12" s="1">
        <f>D12*W12</f>
        <v>8.75</v>
      </c>
      <c r="G12" s="1">
        <f>F12*W12</f>
        <v>0</v>
      </c>
      <c r="I12" s="1">
        <f>H12*W12</f>
        <v>0</v>
      </c>
      <c r="K12" s="1">
        <f>J12*W12</f>
        <v>0</v>
      </c>
      <c r="M12" s="1">
        <f>L12*W12</f>
        <v>0</v>
      </c>
      <c r="N12" s="37"/>
      <c r="O12" s="37"/>
      <c r="P12" s="37"/>
      <c r="Q12" s="37"/>
      <c r="R12" s="37" t="s">
        <v>26</v>
      </c>
      <c r="S12" s="37"/>
      <c r="T12" s="1">
        <v>1</v>
      </c>
      <c r="V12" s="38">
        <f>B12+D12+F12+H12+J12+L12</f>
        <v>415</v>
      </c>
      <c r="W12" s="38">
        <v>0.25</v>
      </c>
      <c r="X12" s="43">
        <f>V12*W12</f>
        <v>103.75</v>
      </c>
      <c r="Z12" s="1">
        <v>1</v>
      </c>
      <c r="AA12" s="7" t="s">
        <v>230</v>
      </c>
      <c r="AC12" s="44" t="s">
        <v>57</v>
      </c>
      <c r="AD12" s="44">
        <f>SUM(K2:K1000)</f>
        <v>93.5</v>
      </c>
      <c r="AE12" s="44"/>
      <c r="AF12" s="44" t="s">
        <v>231</v>
      </c>
      <c r="AG12" s="44">
        <f>AD12/$AD$5</f>
        <v>2.8333333333333335</v>
      </c>
    </row>
    <row r="13" spans="1:33" ht="12.75">
      <c r="A13" s="3">
        <v>42287</v>
      </c>
      <c r="B13" s="1">
        <v>150</v>
      </c>
      <c r="C13" s="1">
        <f>B13*W13</f>
        <v>37.5</v>
      </c>
      <c r="D13" s="1">
        <v>20</v>
      </c>
      <c r="E13" s="1">
        <f>D13*W13</f>
        <v>5</v>
      </c>
      <c r="G13" s="1">
        <f>F13*W13</f>
        <v>0</v>
      </c>
      <c r="I13" s="1">
        <f>H13*W13</f>
        <v>0</v>
      </c>
      <c r="K13" s="1">
        <f>J13*W13</f>
        <v>0</v>
      </c>
      <c r="M13" s="1">
        <f>L13*W13</f>
        <v>0</v>
      </c>
      <c r="N13" s="37"/>
      <c r="O13" s="37"/>
      <c r="P13" s="37"/>
      <c r="Q13" s="37"/>
      <c r="R13" s="37"/>
      <c r="S13" s="37"/>
      <c r="V13" s="38">
        <f>B13+D13+F13+H13+J13+L13</f>
        <v>170</v>
      </c>
      <c r="W13" s="38">
        <v>0.25</v>
      </c>
      <c r="X13" s="43">
        <f>V13*W13</f>
        <v>42.5</v>
      </c>
      <c r="Z13" s="1">
        <v>1</v>
      </c>
      <c r="AA13" s="7" t="s">
        <v>232</v>
      </c>
      <c r="AC13" s="44" t="s">
        <v>58</v>
      </c>
      <c r="AD13" s="44">
        <f>SUM(I2:I995)</f>
        <v>100</v>
      </c>
      <c r="AE13" s="44"/>
      <c r="AF13" s="44" t="s">
        <v>233</v>
      </c>
      <c r="AG13" s="54">
        <f>AD13/$AD$5</f>
        <v>3.0303030303030303</v>
      </c>
    </row>
    <row r="14" spans="1:30" ht="12.75">
      <c r="A14" s="3"/>
      <c r="B14" s="1">
        <f>1358+131</f>
        <v>1489</v>
      </c>
      <c r="C14" s="1">
        <f>B14*W14</f>
        <v>193.57</v>
      </c>
      <c r="D14" s="1">
        <v>34</v>
      </c>
      <c r="E14" s="1">
        <f>D14*W14</f>
        <v>4.42</v>
      </c>
      <c r="G14" s="1">
        <f>F14*W14</f>
        <v>0</v>
      </c>
      <c r="I14" s="1">
        <f>H14*W14</f>
        <v>0</v>
      </c>
      <c r="J14" s="1">
        <v>100</v>
      </c>
      <c r="K14" s="1">
        <f>J14*W14</f>
        <v>13</v>
      </c>
      <c r="L14" s="1">
        <v>1331</v>
      </c>
      <c r="M14" s="1">
        <f>L14*W14</f>
        <v>173.03</v>
      </c>
      <c r="N14" s="37"/>
      <c r="O14" s="37" t="s">
        <v>26</v>
      </c>
      <c r="P14" s="37"/>
      <c r="Q14" s="37"/>
      <c r="R14" s="37"/>
      <c r="S14" s="37"/>
      <c r="V14" s="38">
        <f>B14+D14+F14+H14+J14+L14</f>
        <v>2954</v>
      </c>
      <c r="W14" s="38">
        <v>0.13</v>
      </c>
      <c r="X14" s="43">
        <f>V14*W14</f>
        <v>384.02000000000004</v>
      </c>
      <c r="Z14" s="1">
        <v>2</v>
      </c>
      <c r="AA14" s="7" t="s">
        <v>234</v>
      </c>
      <c r="AC14" s="8"/>
      <c r="AD14" s="8"/>
    </row>
    <row r="15" spans="1:27" ht="12.75">
      <c r="A15" s="3">
        <v>42288</v>
      </c>
      <c r="C15" s="1">
        <f>B15*W15</f>
        <v>0</v>
      </c>
      <c r="E15" s="1">
        <f>D15*W15</f>
        <v>0</v>
      </c>
      <c r="G15" s="1">
        <f>F15*W15</f>
        <v>0</v>
      </c>
      <c r="I15" s="1">
        <f>H15*W15</f>
        <v>0</v>
      </c>
      <c r="K15" s="1">
        <f>J15*W15</f>
        <v>0</v>
      </c>
      <c r="L15" s="1">
        <v>33</v>
      </c>
      <c r="M15" s="1">
        <f>L15*W15</f>
        <v>128.7</v>
      </c>
      <c r="N15" s="37"/>
      <c r="O15" s="37" t="s">
        <v>26</v>
      </c>
      <c r="P15" s="37"/>
      <c r="Q15" s="37"/>
      <c r="R15" s="37"/>
      <c r="S15" s="37"/>
      <c r="V15" s="38">
        <f>B15+D15+F15+H15+J15+L15</f>
        <v>33</v>
      </c>
      <c r="W15" s="38">
        <v>3.9</v>
      </c>
      <c r="X15" s="43">
        <f>V15*W15</f>
        <v>128.7</v>
      </c>
      <c r="Z15" s="1">
        <v>2</v>
      </c>
      <c r="AA15" s="7" t="s">
        <v>235</v>
      </c>
    </row>
    <row r="16" spans="1:26" ht="12.75">
      <c r="A16" s="3"/>
      <c r="C16" s="1">
        <f>B16*W16</f>
        <v>0</v>
      </c>
      <c r="D16" s="1">
        <f>75+167</f>
        <v>242</v>
      </c>
      <c r="E16" s="1">
        <f>D16*W16</f>
        <v>31.46</v>
      </c>
      <c r="F16" s="1">
        <v>480</v>
      </c>
      <c r="G16" s="1">
        <f>F16*W16</f>
        <v>62.400000000000006</v>
      </c>
      <c r="I16" s="1">
        <f>H16*W16</f>
        <v>0</v>
      </c>
      <c r="K16" s="1">
        <f>J16*W16</f>
        <v>0</v>
      </c>
      <c r="M16" s="1">
        <f>L16*W16</f>
        <v>0</v>
      </c>
      <c r="N16" s="37"/>
      <c r="O16" s="37"/>
      <c r="P16" s="37"/>
      <c r="Q16" s="37"/>
      <c r="R16" s="37"/>
      <c r="S16" s="37"/>
      <c r="V16" s="38">
        <f>B16+D16+F16+H16+J16+L16</f>
        <v>722</v>
      </c>
      <c r="W16" s="38">
        <v>0.13</v>
      </c>
      <c r="X16" s="43">
        <f>V16*W16</f>
        <v>93.86</v>
      </c>
      <c r="Z16" s="1">
        <v>2</v>
      </c>
    </row>
    <row r="17" spans="1:30" ht="12.75">
      <c r="A17" s="3">
        <v>42289</v>
      </c>
      <c r="B17" s="1">
        <f>531+531+140+660</f>
        <v>1862</v>
      </c>
      <c r="C17" s="1">
        <f>B17*W17</f>
        <v>242.06</v>
      </c>
      <c r="D17" s="1">
        <v>105</v>
      </c>
      <c r="E17" s="1">
        <f>D17*W17</f>
        <v>13.65</v>
      </c>
      <c r="G17" s="1">
        <f>F17*W17</f>
        <v>0</v>
      </c>
      <c r="I17" s="1">
        <f>H17*W17</f>
        <v>0</v>
      </c>
      <c r="K17" s="1">
        <f>J17*W17</f>
        <v>0</v>
      </c>
      <c r="L17" s="1">
        <v>720</v>
      </c>
      <c r="M17" s="1">
        <f>L17*W17</f>
        <v>93.60000000000001</v>
      </c>
      <c r="N17" s="37"/>
      <c r="O17" s="37" t="s">
        <v>26</v>
      </c>
      <c r="P17" s="37"/>
      <c r="Q17" s="37"/>
      <c r="R17" s="37"/>
      <c r="S17" s="37"/>
      <c r="V17" s="38">
        <f>B17+D17+F17+H17+J17+L17</f>
        <v>2687</v>
      </c>
      <c r="W17" s="38">
        <v>0.13</v>
      </c>
      <c r="X17" s="43">
        <f>V17*W17</f>
        <v>349.31</v>
      </c>
      <c r="Z17" s="1">
        <v>2</v>
      </c>
      <c r="AA17" s="7" t="s">
        <v>236</v>
      </c>
      <c r="AC17" s="8"/>
      <c r="AD17" s="8"/>
    </row>
    <row r="18" spans="1:27" ht="12.75">
      <c r="A18" s="3">
        <v>42290</v>
      </c>
      <c r="B18" s="1">
        <v>1620</v>
      </c>
      <c r="C18" s="1">
        <f>B18*W18</f>
        <v>210.6</v>
      </c>
      <c r="E18" s="1">
        <f>D18*W18</f>
        <v>0</v>
      </c>
      <c r="G18" s="1">
        <f>F18*W18</f>
        <v>0</v>
      </c>
      <c r="I18" s="1">
        <f>H18*W18</f>
        <v>0</v>
      </c>
      <c r="K18" s="1">
        <f>J18*W18</f>
        <v>0</v>
      </c>
      <c r="M18" s="1">
        <f>L18*W18</f>
        <v>0</v>
      </c>
      <c r="N18" s="37"/>
      <c r="O18" s="37"/>
      <c r="P18" s="37" t="s">
        <v>26</v>
      </c>
      <c r="Q18" s="37"/>
      <c r="R18" s="37"/>
      <c r="S18" s="37"/>
      <c r="V18" s="38">
        <f>B18+D18+F18+H18+J18+L18</f>
        <v>1620</v>
      </c>
      <c r="W18" s="38">
        <v>0.13</v>
      </c>
      <c r="X18" s="43">
        <f>V18*W18</f>
        <v>210.6</v>
      </c>
      <c r="Z18" s="1">
        <v>2</v>
      </c>
      <c r="AA18" s="7" t="s">
        <v>237</v>
      </c>
    </row>
    <row r="19" spans="1:27" ht="12.75">
      <c r="A19" s="3">
        <v>42291</v>
      </c>
      <c r="B19" s="1">
        <v>20</v>
      </c>
      <c r="C19" s="1">
        <f>B19*W19</f>
        <v>5</v>
      </c>
      <c r="D19" s="1">
        <f>250+142+8</f>
        <v>400</v>
      </c>
      <c r="E19" s="1">
        <f>D19*W19</f>
        <v>100</v>
      </c>
      <c r="F19" s="1">
        <v>98</v>
      </c>
      <c r="G19" s="1">
        <f>F19*W19</f>
        <v>24.5</v>
      </c>
      <c r="I19" s="1">
        <f>H19*W19</f>
        <v>0</v>
      </c>
      <c r="J19" s="1">
        <v>30</v>
      </c>
      <c r="K19" s="1">
        <f>J19*W19</f>
        <v>7.5</v>
      </c>
      <c r="M19" s="1">
        <f>L19*W19</f>
        <v>0</v>
      </c>
      <c r="N19" s="37"/>
      <c r="O19" s="37"/>
      <c r="P19" s="37" t="s">
        <v>26</v>
      </c>
      <c r="Q19" s="37"/>
      <c r="R19" s="37"/>
      <c r="S19" s="37"/>
      <c r="V19" s="38">
        <f>B19+D19+F19+H19+J19+L19</f>
        <v>548</v>
      </c>
      <c r="W19" s="38">
        <v>0.25</v>
      </c>
      <c r="X19" s="43">
        <f>V19*W19</f>
        <v>137</v>
      </c>
      <c r="Z19" s="1">
        <v>1</v>
      </c>
      <c r="AA19" s="7" t="s">
        <v>238</v>
      </c>
    </row>
    <row r="20" spans="1:30" ht="12.75">
      <c r="A20" s="3">
        <v>42292</v>
      </c>
      <c r="B20" s="1">
        <v>40</v>
      </c>
      <c r="C20" s="1">
        <f>B20*W20</f>
        <v>10</v>
      </c>
      <c r="D20" s="1">
        <v>74</v>
      </c>
      <c r="E20" s="1">
        <f>D20*W20</f>
        <v>18.5</v>
      </c>
      <c r="G20" s="1">
        <f>F20*W20</f>
        <v>0</v>
      </c>
      <c r="I20" s="1">
        <f>H20*W20</f>
        <v>0</v>
      </c>
      <c r="J20" s="1">
        <v>160</v>
      </c>
      <c r="K20" s="1">
        <f>J20*W20</f>
        <v>40</v>
      </c>
      <c r="M20" s="1">
        <f>L20*W20</f>
        <v>0</v>
      </c>
      <c r="N20" s="37"/>
      <c r="O20" s="37"/>
      <c r="P20" s="37" t="s">
        <v>26</v>
      </c>
      <c r="Q20" s="37"/>
      <c r="R20" s="37"/>
      <c r="S20" s="37"/>
      <c r="V20" s="38">
        <f>B20+D20+F20+H20+J20+L20</f>
        <v>274</v>
      </c>
      <c r="W20" s="38">
        <v>0.25</v>
      </c>
      <c r="X20" s="43">
        <f>V20*W20</f>
        <v>68.5</v>
      </c>
      <c r="Z20" s="1">
        <v>1</v>
      </c>
      <c r="AA20" s="7" t="s">
        <v>238</v>
      </c>
      <c r="AC20" s="8"/>
      <c r="AD20" s="8"/>
    </row>
    <row r="21" spans="1:29" ht="12.75">
      <c r="A21" s="3">
        <v>42293</v>
      </c>
      <c r="B21" s="1">
        <v>40</v>
      </c>
      <c r="C21" s="1">
        <f>B21*W21</f>
        <v>10</v>
      </c>
      <c r="D21" s="1">
        <f>140+60</f>
        <v>200</v>
      </c>
      <c r="E21" s="1">
        <f>D21*W21</f>
        <v>50</v>
      </c>
      <c r="G21" s="1">
        <f>F21*W21</f>
        <v>0</v>
      </c>
      <c r="I21" s="1">
        <f>H21*W21</f>
        <v>0</v>
      </c>
      <c r="K21" s="1">
        <f>J21*W21</f>
        <v>0</v>
      </c>
      <c r="M21" s="1">
        <f>L21*W21</f>
        <v>0</v>
      </c>
      <c r="N21" s="37"/>
      <c r="O21" s="37"/>
      <c r="P21" s="37" t="s">
        <v>26</v>
      </c>
      <c r="Q21" s="37"/>
      <c r="R21" s="37"/>
      <c r="S21" s="37"/>
      <c r="V21" s="38">
        <f>B21+D21+F21+H21+J21+L21</f>
        <v>240</v>
      </c>
      <c r="W21" s="38">
        <v>0.25</v>
      </c>
      <c r="X21" s="43">
        <f>V21*W21</f>
        <v>60</v>
      </c>
      <c r="Z21" s="1">
        <v>1</v>
      </c>
      <c r="AA21" s="7" t="s">
        <v>238</v>
      </c>
      <c r="AC21" s="8"/>
    </row>
    <row r="22" spans="1:27" ht="12.75">
      <c r="A22" s="3">
        <v>42294</v>
      </c>
      <c r="C22" s="1">
        <f>B22*W22</f>
        <v>0</v>
      </c>
      <c r="D22" s="1">
        <v>134</v>
      </c>
      <c r="E22" s="1">
        <f>D22*W22</f>
        <v>33.5</v>
      </c>
      <c r="G22" s="1">
        <f>F22*W22</f>
        <v>0</v>
      </c>
      <c r="I22" s="1">
        <f>H22*W22</f>
        <v>0</v>
      </c>
      <c r="K22" s="1">
        <f>J22*W22</f>
        <v>0</v>
      </c>
      <c r="M22" s="1">
        <f>L22*W22</f>
        <v>0</v>
      </c>
      <c r="N22" s="37"/>
      <c r="O22" s="37"/>
      <c r="P22" s="37" t="s">
        <v>26</v>
      </c>
      <c r="Q22" s="37"/>
      <c r="R22" s="37"/>
      <c r="S22" s="37"/>
      <c r="V22" s="38">
        <f>B22+D22+F22+H22+J22+L22</f>
        <v>134</v>
      </c>
      <c r="W22" s="38">
        <v>0.25</v>
      </c>
      <c r="X22" s="43">
        <f>V22*W22</f>
        <v>33.5</v>
      </c>
      <c r="Z22" s="1">
        <v>1</v>
      </c>
      <c r="AA22" s="7" t="s">
        <v>238</v>
      </c>
    </row>
    <row r="23" spans="1:27" ht="12.75">
      <c r="A23" s="3">
        <v>42295</v>
      </c>
      <c r="C23" s="1">
        <f>B23*W23</f>
        <v>0</v>
      </c>
      <c r="D23" s="1">
        <v>173</v>
      </c>
      <c r="E23" s="1">
        <f>D23*W23</f>
        <v>43.25</v>
      </c>
      <c r="G23" s="1">
        <f>F23*W23</f>
        <v>0</v>
      </c>
      <c r="I23" s="1">
        <f>H23*W23</f>
        <v>0</v>
      </c>
      <c r="J23" s="1">
        <v>52</v>
      </c>
      <c r="K23" s="1">
        <f>J23*W23</f>
        <v>13</v>
      </c>
      <c r="M23" s="1">
        <f>L23*W23</f>
        <v>0</v>
      </c>
      <c r="N23" s="37"/>
      <c r="O23" s="37"/>
      <c r="P23" s="37" t="s">
        <v>26</v>
      </c>
      <c r="Q23" s="37"/>
      <c r="R23" s="37"/>
      <c r="S23" s="37"/>
      <c r="V23" s="38">
        <f>B23+D23+F23+H23+J23+L23</f>
        <v>225</v>
      </c>
      <c r="W23" s="38">
        <v>0.25</v>
      </c>
      <c r="X23" s="43">
        <f>V23*W23</f>
        <v>56.25</v>
      </c>
      <c r="Z23" s="1">
        <v>1</v>
      </c>
      <c r="AA23" s="7" t="s">
        <v>238</v>
      </c>
    </row>
    <row r="24" spans="1:27" ht="12.75">
      <c r="A24" s="3">
        <v>42296</v>
      </c>
      <c r="B24" s="1">
        <f>30+350</f>
        <v>380</v>
      </c>
      <c r="C24" s="1">
        <f>B24*W24</f>
        <v>95</v>
      </c>
      <c r="D24" s="1">
        <f>26+35</f>
        <v>61</v>
      </c>
      <c r="E24" s="1">
        <f>D24*W24</f>
        <v>15.25</v>
      </c>
      <c r="G24" s="1">
        <f>F24*W24</f>
        <v>0</v>
      </c>
      <c r="I24" s="1">
        <f>H24*W24</f>
        <v>0</v>
      </c>
      <c r="J24" s="1">
        <v>-20</v>
      </c>
      <c r="K24" s="1">
        <f>J24*W24</f>
        <v>-5</v>
      </c>
      <c r="M24" s="1">
        <f>L24*W24</f>
        <v>0</v>
      </c>
      <c r="N24" s="37"/>
      <c r="O24" s="37"/>
      <c r="P24" s="37" t="s">
        <v>26</v>
      </c>
      <c r="Q24" s="37"/>
      <c r="R24" s="37"/>
      <c r="S24" s="37"/>
      <c r="V24" s="38">
        <f>B24+D24+F24+H24+J24+L24</f>
        <v>421</v>
      </c>
      <c r="W24" s="38">
        <v>0.25</v>
      </c>
      <c r="X24" s="43">
        <f>V24*W24</f>
        <v>105.25</v>
      </c>
      <c r="Z24" s="1">
        <v>1</v>
      </c>
      <c r="AA24" s="7" t="s">
        <v>239</v>
      </c>
    </row>
    <row r="25" spans="1:27" ht="12.75">
      <c r="A25" s="3">
        <v>42297</v>
      </c>
      <c r="B25" s="1">
        <f>25+20</f>
        <v>45</v>
      </c>
      <c r="C25" s="1">
        <f>B25*W25</f>
        <v>11.25</v>
      </c>
      <c r="D25" s="1">
        <v>60</v>
      </c>
      <c r="E25" s="1">
        <f>D25*W25</f>
        <v>15</v>
      </c>
      <c r="G25" s="1">
        <f>F25*W25</f>
        <v>0</v>
      </c>
      <c r="I25" s="1">
        <f>H25*W25</f>
        <v>0</v>
      </c>
      <c r="K25" s="1">
        <f>J25*W25</f>
        <v>0</v>
      </c>
      <c r="L25" s="1">
        <v>250</v>
      </c>
      <c r="M25" s="1">
        <f>L25*W25</f>
        <v>62.5</v>
      </c>
      <c r="N25" s="37"/>
      <c r="O25" s="37" t="s">
        <v>26</v>
      </c>
      <c r="P25" s="37"/>
      <c r="Q25" s="37"/>
      <c r="R25" s="37"/>
      <c r="S25" s="37"/>
      <c r="V25" s="38">
        <f>B25+D25+F25+H25+J25+L25</f>
        <v>355</v>
      </c>
      <c r="W25" s="38">
        <v>0.25</v>
      </c>
      <c r="X25" s="43">
        <f>V25*W25</f>
        <v>88.75</v>
      </c>
      <c r="Z25" s="1">
        <v>1</v>
      </c>
      <c r="AA25" s="7" t="s">
        <v>240</v>
      </c>
    </row>
    <row r="26" spans="1:27" ht="12.75">
      <c r="A26" s="3">
        <v>42298</v>
      </c>
      <c r="C26" s="1">
        <f>B26*W26</f>
        <v>0</v>
      </c>
      <c r="D26" s="1">
        <v>26</v>
      </c>
      <c r="E26" s="1">
        <f>D26*W26</f>
        <v>6.5</v>
      </c>
      <c r="G26" s="1">
        <f>F26*W26</f>
        <v>0</v>
      </c>
      <c r="I26" s="1">
        <f>H26*W26</f>
        <v>0</v>
      </c>
      <c r="K26" s="1">
        <f>J26*W26</f>
        <v>0</v>
      </c>
      <c r="L26" s="1">
        <v>250</v>
      </c>
      <c r="M26" s="1">
        <f>L26*W26</f>
        <v>62.5</v>
      </c>
      <c r="N26" s="37"/>
      <c r="O26" s="37" t="s">
        <v>26</v>
      </c>
      <c r="P26" s="37"/>
      <c r="Q26" s="37"/>
      <c r="R26" s="37"/>
      <c r="S26" s="37"/>
      <c r="V26" s="38">
        <f>B26+D26+F26+H26+J26+L26</f>
        <v>276</v>
      </c>
      <c r="W26" s="38">
        <v>0.25</v>
      </c>
      <c r="X26" s="43">
        <f>V26*W26</f>
        <v>69</v>
      </c>
      <c r="Z26" s="1">
        <v>1</v>
      </c>
      <c r="AA26" s="7" t="s">
        <v>241</v>
      </c>
    </row>
    <row r="27" spans="1:27" ht="12.75">
      <c r="A27" s="3">
        <v>42299</v>
      </c>
      <c r="B27" s="1">
        <v>100</v>
      </c>
      <c r="C27" s="1">
        <f>B27*W27</f>
        <v>25</v>
      </c>
      <c r="E27" s="1">
        <f>D27*W27</f>
        <v>0</v>
      </c>
      <c r="F27" s="1">
        <v>50</v>
      </c>
      <c r="G27" s="1">
        <f>F27*W27</f>
        <v>12.5</v>
      </c>
      <c r="I27" s="1">
        <f>H27*W27</f>
        <v>0</v>
      </c>
      <c r="J27" s="1">
        <v>30</v>
      </c>
      <c r="K27" s="1">
        <f>J27*W27</f>
        <v>7.5</v>
      </c>
      <c r="M27" s="1">
        <f>L27*W27</f>
        <v>0</v>
      </c>
      <c r="N27" s="37"/>
      <c r="O27" s="37"/>
      <c r="P27" s="37"/>
      <c r="Q27" s="37"/>
      <c r="R27" s="37"/>
      <c r="S27" s="37" t="s">
        <v>26</v>
      </c>
      <c r="T27" s="1">
        <v>1</v>
      </c>
      <c r="V27" s="38">
        <f>B27+D27+F27+H27+J27+L27</f>
        <v>180</v>
      </c>
      <c r="W27" s="38">
        <v>0.25</v>
      </c>
      <c r="X27" s="43">
        <f>V27*W27</f>
        <v>45</v>
      </c>
      <c r="Z27" s="1">
        <v>1</v>
      </c>
      <c r="AA27" s="7" t="s">
        <v>242</v>
      </c>
    </row>
    <row r="28" spans="1:27" ht="12.75">
      <c r="A28" s="3">
        <v>42300</v>
      </c>
      <c r="B28" s="1">
        <v>920</v>
      </c>
      <c r="C28" s="1">
        <f>B28*W28</f>
        <v>230</v>
      </c>
      <c r="D28" s="1">
        <f>20+116+36</f>
        <v>172</v>
      </c>
      <c r="E28" s="1">
        <f>D28*W28</f>
        <v>43</v>
      </c>
      <c r="G28" s="1">
        <f>F28*W28</f>
        <v>0</v>
      </c>
      <c r="I28" s="1">
        <f>H28*W28</f>
        <v>0</v>
      </c>
      <c r="K28" s="1">
        <f>J28*W28</f>
        <v>0</v>
      </c>
      <c r="M28" s="1">
        <f>L28*W28</f>
        <v>0</v>
      </c>
      <c r="N28" s="37"/>
      <c r="O28" s="37"/>
      <c r="P28" s="37"/>
      <c r="Q28" s="37" t="s">
        <v>26</v>
      </c>
      <c r="R28" s="37"/>
      <c r="S28" s="37"/>
      <c r="V28" s="38">
        <f>B28+D28+F28+H28+J28+L28</f>
        <v>1092</v>
      </c>
      <c r="W28" s="38">
        <v>0.25</v>
      </c>
      <c r="X28" s="43">
        <f>V28*W28</f>
        <v>273</v>
      </c>
      <c r="Z28" s="1">
        <v>1</v>
      </c>
      <c r="AA28" s="7" t="s">
        <v>243</v>
      </c>
    </row>
    <row r="29" spans="1:27" ht="12.75">
      <c r="A29" s="3">
        <v>42301</v>
      </c>
      <c r="C29" s="1">
        <f>B29*W29</f>
        <v>0</v>
      </c>
      <c r="D29" s="1">
        <f>36+117+50</f>
        <v>203</v>
      </c>
      <c r="E29" s="1">
        <f>D29*W29</f>
        <v>50.75</v>
      </c>
      <c r="G29" s="1">
        <f>F29*W29</f>
        <v>0</v>
      </c>
      <c r="I29" s="1">
        <f>H29*W29</f>
        <v>0</v>
      </c>
      <c r="K29" s="1">
        <f>J29*W29</f>
        <v>0</v>
      </c>
      <c r="M29" s="1">
        <f>L29*W29</f>
        <v>0</v>
      </c>
      <c r="N29" s="37"/>
      <c r="O29" s="37"/>
      <c r="P29" s="37"/>
      <c r="Q29" s="37" t="s">
        <v>26</v>
      </c>
      <c r="R29" s="37"/>
      <c r="S29" s="37"/>
      <c r="V29" s="38">
        <f>B29+D29+F29+H29+J29+L29</f>
        <v>203</v>
      </c>
      <c r="W29" s="38">
        <v>0.25</v>
      </c>
      <c r="X29" s="43">
        <f>V29*W29</f>
        <v>50.75</v>
      </c>
      <c r="Z29" s="1">
        <v>1</v>
      </c>
      <c r="AA29" s="7" t="s">
        <v>243</v>
      </c>
    </row>
    <row r="30" spans="1:27" ht="12.75">
      <c r="A30" s="3">
        <v>42302</v>
      </c>
      <c r="B30" s="1">
        <f>70</f>
        <v>70</v>
      </c>
      <c r="C30" s="1">
        <f>B30*W30</f>
        <v>17.5</v>
      </c>
      <c r="D30" s="1">
        <f>21+24+25+25</f>
        <v>95</v>
      </c>
      <c r="E30" s="1">
        <f>D30*W30</f>
        <v>23.75</v>
      </c>
      <c r="G30" s="1">
        <f>F30*W30</f>
        <v>0</v>
      </c>
      <c r="I30" s="1">
        <f>H30*W30</f>
        <v>0</v>
      </c>
      <c r="K30" s="1">
        <f>J30*W30</f>
        <v>0</v>
      </c>
      <c r="M30" s="1">
        <f>L30*W30</f>
        <v>0</v>
      </c>
      <c r="N30" s="37"/>
      <c r="O30" s="37"/>
      <c r="P30" s="37"/>
      <c r="Q30" s="37" t="s">
        <v>26</v>
      </c>
      <c r="R30" s="37"/>
      <c r="S30" s="37"/>
      <c r="V30" s="38">
        <f>B30+D30+F30+H30+J30+L30</f>
        <v>165</v>
      </c>
      <c r="W30" s="38">
        <v>0.25</v>
      </c>
      <c r="X30" s="43">
        <f>V30*W30</f>
        <v>41.25</v>
      </c>
      <c r="Z30" s="1">
        <v>1</v>
      </c>
      <c r="AA30" s="8" t="s">
        <v>244</v>
      </c>
    </row>
    <row r="31" spans="1:27" ht="12.75">
      <c r="A31" s="3">
        <v>42303</v>
      </c>
      <c r="B31" s="1">
        <f>20+45</f>
        <v>65</v>
      </c>
      <c r="C31" s="1">
        <f>B31*W31</f>
        <v>16.25</v>
      </c>
      <c r="D31" s="1">
        <f>16+32+82+20+16</f>
        <v>166</v>
      </c>
      <c r="E31" s="1">
        <f>D31*W31</f>
        <v>41.5</v>
      </c>
      <c r="G31" s="1">
        <f>F31*W31</f>
        <v>0</v>
      </c>
      <c r="I31" s="1">
        <f>H31*W31</f>
        <v>0</v>
      </c>
      <c r="K31" s="1">
        <f>J31*W31</f>
        <v>0</v>
      </c>
      <c r="M31" s="1">
        <f>L31*W31</f>
        <v>0</v>
      </c>
      <c r="N31" s="37"/>
      <c r="O31" s="37"/>
      <c r="P31" s="37"/>
      <c r="Q31" s="37" t="s">
        <v>26</v>
      </c>
      <c r="R31" s="37"/>
      <c r="S31" s="37"/>
      <c r="V31" s="38">
        <f>B31+D31+F31+H31+J31+L31</f>
        <v>231</v>
      </c>
      <c r="W31" s="38">
        <v>0.25</v>
      </c>
      <c r="X31" s="43">
        <f>V31*W31</f>
        <v>57.75</v>
      </c>
      <c r="Z31" s="1">
        <v>1</v>
      </c>
      <c r="AA31" s="7" t="s">
        <v>243</v>
      </c>
    </row>
    <row r="32" spans="1:27" ht="12.75">
      <c r="A32" s="3">
        <v>42304</v>
      </c>
      <c r="B32" s="1">
        <v>24</v>
      </c>
      <c r="C32" s="1">
        <f>B32*W32</f>
        <v>6</v>
      </c>
      <c r="D32" s="1">
        <f>12+168</f>
        <v>180</v>
      </c>
      <c r="E32" s="1">
        <f>D32*W32</f>
        <v>45</v>
      </c>
      <c r="G32" s="1">
        <f>F32*W32</f>
        <v>0</v>
      </c>
      <c r="I32" s="1">
        <f>H32*W32</f>
        <v>0</v>
      </c>
      <c r="K32" s="1">
        <f>J32*W32</f>
        <v>0</v>
      </c>
      <c r="L32" s="1">
        <v>150</v>
      </c>
      <c r="M32" s="1">
        <f>L32*W32</f>
        <v>37.5</v>
      </c>
      <c r="N32" s="37" t="s">
        <v>26</v>
      </c>
      <c r="O32" s="37"/>
      <c r="P32" s="37"/>
      <c r="Q32" s="37"/>
      <c r="R32" s="37"/>
      <c r="S32" s="37"/>
      <c r="V32" s="38">
        <f>B32+D32+F32+H32+J32+L32</f>
        <v>354</v>
      </c>
      <c r="W32" s="38">
        <v>0.25</v>
      </c>
      <c r="X32" s="43">
        <f>V32*W32</f>
        <v>88.5</v>
      </c>
      <c r="Z32" s="1">
        <v>1</v>
      </c>
      <c r="AA32" s="7" t="s">
        <v>245</v>
      </c>
    </row>
    <row r="33" spans="1:27" ht="12.75">
      <c r="A33" s="3">
        <v>42305</v>
      </c>
      <c r="C33" s="1">
        <f>B33*W33</f>
        <v>0</v>
      </c>
      <c r="D33" s="1">
        <v>25</v>
      </c>
      <c r="E33" s="1">
        <f>D33*W33</f>
        <v>6.25</v>
      </c>
      <c r="G33" s="1">
        <f>F33*W33</f>
        <v>0</v>
      </c>
      <c r="I33" s="1">
        <f>H33*W33</f>
        <v>0</v>
      </c>
      <c r="K33" s="1">
        <f>J33*W33</f>
        <v>0</v>
      </c>
      <c r="L33" s="1">
        <v>150</v>
      </c>
      <c r="M33" s="1">
        <f>L33*W33</f>
        <v>37.5</v>
      </c>
      <c r="N33" s="37" t="s">
        <v>26</v>
      </c>
      <c r="O33" s="37"/>
      <c r="P33" s="37"/>
      <c r="Q33" s="37"/>
      <c r="R33" s="37"/>
      <c r="S33" s="37"/>
      <c r="V33" s="38">
        <f>B33+D33+F33+H33+J33+L33</f>
        <v>175</v>
      </c>
      <c r="W33" s="38">
        <v>0.25</v>
      </c>
      <c r="X33" s="43">
        <f>V33*W33</f>
        <v>43.75</v>
      </c>
      <c r="Z33" s="1">
        <v>1</v>
      </c>
      <c r="AA33" s="7" t="s">
        <v>246</v>
      </c>
    </row>
    <row r="34" spans="1:27" ht="12.75">
      <c r="A34" s="3">
        <v>42306</v>
      </c>
      <c r="B34" s="1">
        <f>25+70</f>
        <v>95</v>
      </c>
      <c r="C34" s="1">
        <f>B34*W34</f>
        <v>23.75</v>
      </c>
      <c r="D34" s="1">
        <f>65+10+37</f>
        <v>112</v>
      </c>
      <c r="E34" s="1">
        <f>D34*W34</f>
        <v>28</v>
      </c>
      <c r="G34" s="1">
        <f>F34*W34</f>
        <v>0</v>
      </c>
      <c r="I34" s="1">
        <f>H34*W34</f>
        <v>0</v>
      </c>
      <c r="K34" s="1">
        <f>J34*W34</f>
        <v>0</v>
      </c>
      <c r="L34" s="1">
        <v>350</v>
      </c>
      <c r="M34" s="1">
        <f>L34*W34</f>
        <v>87.5</v>
      </c>
      <c r="N34" s="37"/>
      <c r="O34" s="37" t="s">
        <v>26</v>
      </c>
      <c r="P34" s="37"/>
      <c r="Q34" s="37"/>
      <c r="R34" s="37"/>
      <c r="S34" s="37"/>
      <c r="V34" s="38">
        <f>B34+D34+F34+H34+J34+L34</f>
        <v>557</v>
      </c>
      <c r="W34" s="38">
        <v>0.25</v>
      </c>
      <c r="X34" s="43">
        <f>V34*W34</f>
        <v>139.25</v>
      </c>
      <c r="Z34" s="1">
        <v>1</v>
      </c>
      <c r="AA34" s="7" t="s">
        <v>247</v>
      </c>
    </row>
    <row r="35" spans="1:27" ht="12.75">
      <c r="A35" s="3">
        <v>42307</v>
      </c>
      <c r="B35" s="1">
        <v>70</v>
      </c>
      <c r="C35" s="1">
        <f>B35*W35</f>
        <v>17.5</v>
      </c>
      <c r="E35" s="1">
        <f>D35*W35</f>
        <v>0</v>
      </c>
      <c r="G35" s="1">
        <f>F35*W35</f>
        <v>0</v>
      </c>
      <c r="I35" s="1">
        <f>H35*W35</f>
        <v>0</v>
      </c>
      <c r="K35" s="1">
        <f>J35*W35</f>
        <v>0</v>
      </c>
      <c r="L35" s="1">
        <v>350</v>
      </c>
      <c r="M35" s="1">
        <f>L35*W35</f>
        <v>87.5</v>
      </c>
      <c r="N35" s="37"/>
      <c r="O35" s="37" t="s">
        <v>26</v>
      </c>
      <c r="P35" s="37"/>
      <c r="Q35" s="37"/>
      <c r="R35" s="37"/>
      <c r="S35" s="37"/>
      <c r="T35" s="1">
        <v>1</v>
      </c>
      <c r="V35" s="38">
        <f>B35+D35+F35+H35+J35+L35</f>
        <v>420</v>
      </c>
      <c r="W35" s="38">
        <v>0.25</v>
      </c>
      <c r="X35" s="43">
        <f>V35*W35</f>
        <v>105</v>
      </c>
      <c r="Z35" s="1">
        <v>1</v>
      </c>
      <c r="AA35" s="7" t="s">
        <v>248</v>
      </c>
    </row>
    <row r="36" spans="1:27" ht="12.75">
      <c r="A36" s="3">
        <v>42308</v>
      </c>
      <c r="B36" s="1">
        <v>110</v>
      </c>
      <c r="C36" s="1">
        <f>B36*W36</f>
        <v>27.5</v>
      </c>
      <c r="D36" s="1">
        <f>37+78</f>
        <v>115</v>
      </c>
      <c r="E36" s="1">
        <f>D36*W36</f>
        <v>28.75</v>
      </c>
      <c r="G36" s="1">
        <f>F36*W36</f>
        <v>0</v>
      </c>
      <c r="I36" s="1">
        <f>H36*W36</f>
        <v>0</v>
      </c>
      <c r="K36" s="1">
        <f>J36*W36</f>
        <v>0</v>
      </c>
      <c r="M36" s="1">
        <f>L36*W36</f>
        <v>0</v>
      </c>
      <c r="N36" s="37"/>
      <c r="O36" s="37"/>
      <c r="P36" s="37"/>
      <c r="Q36" s="37" t="s">
        <v>26</v>
      </c>
      <c r="R36" s="37"/>
      <c r="S36" s="37"/>
      <c r="V36" s="38">
        <f>B36+D36+F36+H36+J36+L36</f>
        <v>225</v>
      </c>
      <c r="W36" s="38">
        <v>0.25</v>
      </c>
      <c r="X36" s="43">
        <f>V36*W36</f>
        <v>56.25</v>
      </c>
      <c r="Z36" s="1">
        <v>1</v>
      </c>
      <c r="AA36" s="7" t="s">
        <v>243</v>
      </c>
    </row>
    <row r="37" spans="1:24" ht="12.75">
      <c r="A37" s="3"/>
      <c r="C37" s="1">
        <f>B37*W37</f>
        <v>0</v>
      </c>
      <c r="E37" s="1">
        <f>D37*W37</f>
        <v>0</v>
      </c>
      <c r="G37" s="1">
        <f>F37*W37</f>
        <v>0</v>
      </c>
      <c r="I37" s="1">
        <f>H37*W37</f>
        <v>0</v>
      </c>
      <c r="K37" s="1">
        <f>J37*W37</f>
        <v>0</v>
      </c>
      <c r="M37" s="1">
        <f>L37*W37</f>
        <v>0</v>
      </c>
      <c r="V37" s="1">
        <f>B37+D37+F37+H37+J37+L37</f>
        <v>0</v>
      </c>
      <c r="X37" s="2">
        <f>V37*W37</f>
        <v>0</v>
      </c>
    </row>
    <row r="38" spans="3:27" ht="12.75">
      <c r="C38" s="1">
        <f>B38*W38</f>
        <v>0</v>
      </c>
      <c r="E38" s="1">
        <f>D38*W38</f>
        <v>0</v>
      </c>
      <c r="G38" s="1">
        <f>F38*W38</f>
        <v>0</v>
      </c>
      <c r="I38" s="1">
        <f>H38*W38</f>
        <v>0</v>
      </c>
      <c r="K38" s="1">
        <f>J38*W38</f>
        <v>0</v>
      </c>
      <c r="M38" s="1">
        <f>L38*W38</f>
        <v>0</v>
      </c>
      <c r="V38" s="1">
        <f>B38+D38+F38+H38+J38+L38</f>
        <v>0</v>
      </c>
      <c r="X38" s="2">
        <f>V38*W38</f>
        <v>0</v>
      </c>
      <c r="AA38" s="8"/>
    </row>
    <row r="39" spans="3:27" ht="12.75">
      <c r="C39" s="1">
        <f>B39*W39</f>
        <v>0</v>
      </c>
      <c r="E39" s="1">
        <f>D39*W39</f>
        <v>0</v>
      </c>
      <c r="G39" s="1">
        <f>F39*W39</f>
        <v>0</v>
      </c>
      <c r="I39" s="1">
        <f>H39*W39</f>
        <v>0</v>
      </c>
      <c r="K39" s="1">
        <f>J39*W39</f>
        <v>0</v>
      </c>
      <c r="M39" s="1">
        <f>L39*W39</f>
        <v>0</v>
      </c>
      <c r="V39" s="1">
        <f>B39+D39+F39+H39+J39+L39</f>
        <v>0</v>
      </c>
      <c r="X39" s="2">
        <f>V39*W39</f>
        <v>0</v>
      </c>
      <c r="AA39" s="8"/>
    </row>
    <row r="40" spans="3:24" ht="12.75">
      <c r="C40" s="1">
        <f>B40*W40</f>
        <v>0</v>
      </c>
      <c r="E40" s="1">
        <f>D40*W40</f>
        <v>0</v>
      </c>
      <c r="G40" s="1">
        <f>F40*W40</f>
        <v>0</v>
      </c>
      <c r="I40" s="1">
        <f>H40*W40</f>
        <v>0</v>
      </c>
      <c r="K40" s="1">
        <f>J40*W40</f>
        <v>0</v>
      </c>
      <c r="M40" s="1">
        <f>L40*W40</f>
        <v>0</v>
      </c>
      <c r="V40" s="1">
        <f>B40+D40+F40+H40+J40+L40</f>
        <v>0</v>
      </c>
      <c r="X40" s="2">
        <f>V40*W40</f>
        <v>0</v>
      </c>
    </row>
    <row r="41" spans="3:24" ht="12.75">
      <c r="C41" s="1">
        <f>B41*W41</f>
        <v>0</v>
      </c>
      <c r="E41" s="1">
        <f>D41*W41</f>
        <v>0</v>
      </c>
      <c r="G41" s="1">
        <f>F41*W41</f>
        <v>0</v>
      </c>
      <c r="I41" s="1">
        <f>H41*W41</f>
        <v>0</v>
      </c>
      <c r="K41" s="1">
        <f>J41*W41</f>
        <v>0</v>
      </c>
      <c r="M41" s="1">
        <f>L41*W41</f>
        <v>0</v>
      </c>
      <c r="V41" s="1">
        <f>B41+D41+F41+H41+J41+L41</f>
        <v>0</v>
      </c>
      <c r="X41" s="2">
        <f>V41*W41</f>
        <v>0</v>
      </c>
    </row>
    <row r="42" spans="3:24" ht="12.75">
      <c r="C42" s="1">
        <f>B42*W42</f>
        <v>0</v>
      </c>
      <c r="E42" s="1">
        <f>D42*W42</f>
        <v>0</v>
      </c>
      <c r="G42" s="1">
        <f>F42*W42</f>
        <v>0</v>
      </c>
      <c r="I42" s="1">
        <f>H42*W42</f>
        <v>0</v>
      </c>
      <c r="K42" s="1">
        <f>J42*W42</f>
        <v>0</v>
      </c>
      <c r="M42" s="1">
        <f>L42*W42</f>
        <v>0</v>
      </c>
      <c r="V42" s="1">
        <f>B42+D42+F42+H42+J42+L42</f>
        <v>0</v>
      </c>
      <c r="X42" s="2">
        <f>V42*W42</f>
        <v>0</v>
      </c>
    </row>
    <row r="43" spans="3:24" ht="12.75">
      <c r="C43" s="1">
        <f>B43*W43</f>
        <v>0</v>
      </c>
      <c r="E43" s="1">
        <f>D43*W43</f>
        <v>0</v>
      </c>
      <c r="G43" s="1">
        <f>F43*W43</f>
        <v>0</v>
      </c>
      <c r="I43" s="1">
        <f>H43*W43</f>
        <v>0</v>
      </c>
      <c r="K43" s="1">
        <f>J43*W43</f>
        <v>0</v>
      </c>
      <c r="M43" s="1">
        <f>L43*W43</f>
        <v>0</v>
      </c>
      <c r="V43" s="1">
        <f>B43+D43+F43+H43+J43+L43</f>
        <v>0</v>
      </c>
      <c r="X43" s="2">
        <f>V43*W43</f>
        <v>0</v>
      </c>
    </row>
    <row r="44" spans="3:24" ht="12.75">
      <c r="C44" s="1">
        <f>B44*W44</f>
        <v>0</v>
      </c>
      <c r="E44" s="1">
        <f>D44*W44</f>
        <v>0</v>
      </c>
      <c r="G44" s="1">
        <f>F44*W44</f>
        <v>0</v>
      </c>
      <c r="I44" s="1">
        <f>H44*W44</f>
        <v>0</v>
      </c>
      <c r="K44" s="1">
        <f>J44*W44</f>
        <v>0</v>
      </c>
      <c r="M44" s="1">
        <f>L44*W44</f>
        <v>0</v>
      </c>
      <c r="V44" s="1">
        <f>B44+D44+F44+H44+J44+L44</f>
        <v>0</v>
      </c>
      <c r="X44" s="2">
        <f>V44*W44</f>
        <v>0</v>
      </c>
    </row>
    <row r="45" spans="3:24" ht="12.75">
      <c r="C45" s="1">
        <f>B45*W45</f>
        <v>0</v>
      </c>
      <c r="E45" s="1">
        <f>D45*W45</f>
        <v>0</v>
      </c>
      <c r="G45" s="1">
        <f>F45*W45</f>
        <v>0</v>
      </c>
      <c r="I45" s="1">
        <f>H45*W45</f>
        <v>0</v>
      </c>
      <c r="K45" s="1">
        <f>J45*W45</f>
        <v>0</v>
      </c>
      <c r="V45" s="1">
        <f>B45+D45+F45+H45+J45+L45</f>
        <v>0</v>
      </c>
      <c r="X45" s="2">
        <f>V45*W45</f>
        <v>0</v>
      </c>
    </row>
    <row r="46" spans="3:24" ht="12.75">
      <c r="C46" s="1">
        <f>B46*W46</f>
        <v>0</v>
      </c>
      <c r="E46" s="1">
        <f>D46*W46</f>
        <v>0</v>
      </c>
      <c r="G46" s="1">
        <f>F46*W46</f>
        <v>0</v>
      </c>
      <c r="I46" s="1">
        <f>H46*W46</f>
        <v>0</v>
      </c>
      <c r="K46" s="1">
        <f>J46*W46</f>
        <v>0</v>
      </c>
      <c r="V46" s="1">
        <f>B46+D46+F46+H46+J46+L46</f>
        <v>0</v>
      </c>
      <c r="X46" s="2">
        <f>V46*W46</f>
        <v>0</v>
      </c>
    </row>
    <row r="47" spans="3:24" ht="12.75">
      <c r="C47" s="1">
        <f>B47*W47</f>
        <v>0</v>
      </c>
      <c r="E47" s="1">
        <f>D47*W47</f>
        <v>0</v>
      </c>
      <c r="G47" s="1">
        <f>F47*W47</f>
        <v>0</v>
      </c>
      <c r="I47" s="1">
        <f>H47*W47</f>
        <v>0</v>
      </c>
      <c r="K47" s="1">
        <f>J47*W47</f>
        <v>0</v>
      </c>
      <c r="V47" s="1">
        <f>B47+D47+F47+H47+J47+L47</f>
        <v>0</v>
      </c>
      <c r="X47" s="2">
        <f>V47*W47</f>
        <v>0</v>
      </c>
    </row>
    <row r="48" spans="3:24" ht="12.75">
      <c r="C48" s="1">
        <f>B48*W48</f>
        <v>0</v>
      </c>
      <c r="E48" s="1">
        <f>D48*W48</f>
        <v>0</v>
      </c>
      <c r="G48" s="1">
        <f>F48*W48</f>
        <v>0</v>
      </c>
      <c r="I48" s="1">
        <f>H48*W48</f>
        <v>0</v>
      </c>
      <c r="K48" s="1">
        <f>J48*W48</f>
        <v>0</v>
      </c>
      <c r="V48" s="1">
        <f>B48+D48+F48+H48+J48+L48</f>
        <v>0</v>
      </c>
      <c r="X48" s="2">
        <f>V48*W48</f>
        <v>0</v>
      </c>
    </row>
    <row r="49" spans="3:24" ht="12.75">
      <c r="C49" s="1">
        <f>B49*W49</f>
        <v>0</v>
      </c>
      <c r="E49" s="1">
        <f>D49*W49</f>
        <v>0</v>
      </c>
      <c r="G49" s="1">
        <f>F49*W49</f>
        <v>0</v>
      </c>
      <c r="I49" s="1">
        <f>H49*W49</f>
        <v>0</v>
      </c>
      <c r="K49" s="1">
        <f>J49*W49</f>
        <v>0</v>
      </c>
      <c r="V49" s="1">
        <f>B49+D49+F49+H49+J49+L49</f>
        <v>0</v>
      </c>
      <c r="X49" s="2">
        <f>V49*W49</f>
        <v>0</v>
      </c>
    </row>
    <row r="50" spans="3:24" ht="12.75">
      <c r="C50" s="1">
        <f>B50*W50</f>
        <v>0</v>
      </c>
      <c r="E50" s="1">
        <f>D50*W50</f>
        <v>0</v>
      </c>
      <c r="G50" s="1">
        <f>F50*W50</f>
        <v>0</v>
      </c>
      <c r="I50" s="1">
        <f>H50*W50</f>
        <v>0</v>
      </c>
      <c r="K50" s="1">
        <f>J50*W50</f>
        <v>0</v>
      </c>
      <c r="V50" s="1">
        <f>B50+D50+F50+H50+J50+L50</f>
        <v>0</v>
      </c>
      <c r="X50" s="2">
        <f>V50*W50</f>
        <v>0</v>
      </c>
    </row>
    <row r="51" spans="3:24" ht="12.75">
      <c r="C51" s="1">
        <f>B51*W51</f>
        <v>0</v>
      </c>
      <c r="E51" s="1">
        <f>D51*W51</f>
        <v>0</v>
      </c>
      <c r="G51" s="1">
        <f>F51*W51</f>
        <v>0</v>
      </c>
      <c r="I51" s="1">
        <f>H51*W51</f>
        <v>0</v>
      </c>
      <c r="K51" s="1">
        <f>J51*W51</f>
        <v>0</v>
      </c>
      <c r="V51" s="1">
        <f>B51+D51+F51+H51+J51+L51</f>
        <v>0</v>
      </c>
      <c r="X51" s="2">
        <f>V51*W51</f>
        <v>0</v>
      </c>
    </row>
    <row r="52" spans="3:24" ht="12.75">
      <c r="C52" s="1">
        <f>B52*W52</f>
        <v>0</v>
      </c>
      <c r="E52" s="1">
        <f>D52*W52</f>
        <v>0</v>
      </c>
      <c r="G52" s="1">
        <f>F52*W52</f>
        <v>0</v>
      </c>
      <c r="I52" s="1">
        <f>H52*W52</f>
        <v>0</v>
      </c>
      <c r="K52" s="1">
        <f>J52*W52</f>
        <v>0</v>
      </c>
      <c r="V52" s="1">
        <f>B52+D52+F52+H52+J52+L52</f>
        <v>0</v>
      </c>
      <c r="X52" s="2">
        <f>V52*W52</f>
        <v>0</v>
      </c>
    </row>
    <row r="53" spans="3:24" ht="12.75">
      <c r="C53" s="1">
        <f>B53*W53</f>
        <v>0</v>
      </c>
      <c r="E53" s="1">
        <f>D53*W53</f>
        <v>0</v>
      </c>
      <c r="G53" s="1">
        <f>F53*W53</f>
        <v>0</v>
      </c>
      <c r="I53" s="1">
        <f>H53*W53</f>
        <v>0</v>
      </c>
      <c r="K53" s="1">
        <f>J53*W53</f>
        <v>0</v>
      </c>
      <c r="V53" s="1">
        <f>B53+D53+F53+H53+J53+L53</f>
        <v>0</v>
      </c>
      <c r="X53" s="2">
        <f>V53*W53</f>
        <v>0</v>
      </c>
    </row>
    <row r="54" spans="3:24" ht="12.75">
      <c r="C54" s="1">
        <f>B54*W54</f>
        <v>0</v>
      </c>
      <c r="E54" s="1">
        <f>D54*W54</f>
        <v>0</v>
      </c>
      <c r="G54" s="1">
        <f>F54*W54</f>
        <v>0</v>
      </c>
      <c r="I54" s="1">
        <f>H54*W54</f>
        <v>0</v>
      </c>
      <c r="K54" s="1">
        <f>J54*W54</f>
        <v>0</v>
      </c>
      <c r="V54" s="1">
        <f>B54+D54+F54+H54+J54+L54</f>
        <v>0</v>
      </c>
      <c r="X54" s="2">
        <f>V54*W54</f>
        <v>0</v>
      </c>
    </row>
    <row r="55" spans="3:24" ht="12.75">
      <c r="C55" s="1">
        <f>B55*W55</f>
        <v>0</v>
      </c>
      <c r="E55" s="1">
        <f>D55*W55</f>
        <v>0</v>
      </c>
      <c r="G55" s="1">
        <f>F55*W55</f>
        <v>0</v>
      </c>
      <c r="I55" s="1">
        <f>H55*W55</f>
        <v>0</v>
      </c>
      <c r="K55" s="1">
        <f>J55*W55</f>
        <v>0</v>
      </c>
      <c r="V55" s="1">
        <f>B55+D55+F55+H55+J55+L55</f>
        <v>0</v>
      </c>
      <c r="X55" s="2">
        <f>V55*W55</f>
        <v>0</v>
      </c>
    </row>
    <row r="56" spans="3:24" ht="12.75">
      <c r="C56" s="1">
        <f>B56*W56</f>
        <v>0</v>
      </c>
      <c r="E56" s="1">
        <f>D56*W56</f>
        <v>0</v>
      </c>
      <c r="G56" s="1">
        <f>F56*W56</f>
        <v>0</v>
      </c>
      <c r="I56" s="1">
        <f>H56*W56</f>
        <v>0</v>
      </c>
      <c r="K56" s="1">
        <f>J56*W56</f>
        <v>0</v>
      </c>
      <c r="V56" s="1">
        <f>B56+D56+F56+H56+J56+L56</f>
        <v>0</v>
      </c>
      <c r="X56" s="2">
        <f>V56*W56</f>
        <v>0</v>
      </c>
    </row>
    <row r="57" spans="3:24" ht="12.75">
      <c r="C57" s="1">
        <f>B57*W57</f>
        <v>0</v>
      </c>
      <c r="E57" s="1">
        <f>D57*W57</f>
        <v>0</v>
      </c>
      <c r="G57" s="1">
        <f>F57*W57</f>
        <v>0</v>
      </c>
      <c r="I57" s="1">
        <f>H57*W57</f>
        <v>0</v>
      </c>
      <c r="K57" s="1">
        <f>J57*W57</f>
        <v>0</v>
      </c>
      <c r="V57" s="1">
        <f>B57+D57+F57+H57+J57+L57</f>
        <v>0</v>
      </c>
      <c r="X57" s="2">
        <f>V57*W57</f>
        <v>0</v>
      </c>
    </row>
    <row r="58" spans="3:24" ht="12.75">
      <c r="C58" s="1">
        <f>B58*W58</f>
        <v>0</v>
      </c>
      <c r="E58" s="1">
        <f>D58*W58</f>
        <v>0</v>
      </c>
      <c r="G58" s="1">
        <f>F58*W58</f>
        <v>0</v>
      </c>
      <c r="I58" s="1">
        <f>H58*W58</f>
        <v>0</v>
      </c>
      <c r="K58" s="1">
        <f>J58*W58</f>
        <v>0</v>
      </c>
      <c r="V58" s="1">
        <f>B58+D58+F58+H58+J58+L58</f>
        <v>0</v>
      </c>
      <c r="X58" s="2">
        <f>V58*W58</f>
        <v>0</v>
      </c>
    </row>
    <row r="59" spans="3:24" ht="12.75">
      <c r="C59" s="1">
        <f>B59*W59</f>
        <v>0</v>
      </c>
      <c r="E59" s="1">
        <f>D59*W59</f>
        <v>0</v>
      </c>
      <c r="G59" s="1">
        <f>F59*W59</f>
        <v>0</v>
      </c>
      <c r="I59" s="1">
        <f>H59*W59</f>
        <v>0</v>
      </c>
      <c r="K59" s="1">
        <f>J59*W59</f>
        <v>0</v>
      </c>
      <c r="V59" s="1">
        <f>B59+D59+F59+H59+J59+L59</f>
        <v>0</v>
      </c>
      <c r="X59" s="2">
        <f>V59*W59</f>
        <v>0</v>
      </c>
    </row>
    <row r="60" spans="3:24" ht="12.75">
      <c r="C60" s="1">
        <f>B60*W60</f>
        <v>0</v>
      </c>
      <c r="E60" s="1">
        <f>D60*W60</f>
        <v>0</v>
      </c>
      <c r="G60" s="1">
        <f>F60*W60</f>
        <v>0</v>
      </c>
      <c r="I60" s="1">
        <f>H60*W60</f>
        <v>0</v>
      </c>
      <c r="K60" s="1">
        <f>J60*W60</f>
        <v>0</v>
      </c>
      <c r="V60" s="1">
        <f>B60+D60+F60+H60+J60+L60</f>
        <v>0</v>
      </c>
      <c r="X60" s="2">
        <f>V60*W60</f>
        <v>0</v>
      </c>
    </row>
    <row r="61" spans="3:24" ht="12.75">
      <c r="C61" s="1">
        <f>B61*W61</f>
        <v>0</v>
      </c>
      <c r="E61" s="1">
        <f>D61*W61</f>
        <v>0</v>
      </c>
      <c r="G61" s="1">
        <f>F61*W61</f>
        <v>0</v>
      </c>
      <c r="I61" s="1">
        <f>H61*W61</f>
        <v>0</v>
      </c>
      <c r="K61" s="1">
        <f>J61*W61</f>
        <v>0</v>
      </c>
      <c r="V61" s="1">
        <f>B61+D61+F61+H61+J61+L61</f>
        <v>0</v>
      </c>
      <c r="X61" s="2">
        <f>V61*W61</f>
        <v>0</v>
      </c>
    </row>
    <row r="62" spans="3:24" ht="12.75">
      <c r="C62" s="1">
        <f>B62*W62</f>
        <v>0</v>
      </c>
      <c r="E62" s="1">
        <f>D62*W62</f>
        <v>0</v>
      </c>
      <c r="G62" s="1">
        <f>F62*W62</f>
        <v>0</v>
      </c>
      <c r="I62" s="1">
        <f>H62*W62</f>
        <v>0</v>
      </c>
      <c r="K62" s="1">
        <f>J62*W62</f>
        <v>0</v>
      </c>
      <c r="V62" s="1">
        <f>B62+D62+F62+H62+J62+L62</f>
        <v>0</v>
      </c>
      <c r="X62" s="2">
        <f>V62*W62</f>
        <v>0</v>
      </c>
    </row>
    <row r="63" spans="3:24" ht="12.75">
      <c r="C63" s="1">
        <f>B63*W63</f>
        <v>0</v>
      </c>
      <c r="E63" s="1">
        <f>D63*W63</f>
        <v>0</v>
      </c>
      <c r="G63" s="1">
        <f>F63*W63</f>
        <v>0</v>
      </c>
      <c r="I63" s="1">
        <f>H63*W63</f>
        <v>0</v>
      </c>
      <c r="K63" s="1">
        <f>J63*W63</f>
        <v>0</v>
      </c>
      <c r="V63" s="1">
        <f>B63+D63+F63+H63+J63+L63</f>
        <v>0</v>
      </c>
      <c r="X63" s="2">
        <f>V63*W63</f>
        <v>0</v>
      </c>
    </row>
    <row r="64" spans="3:22" ht="12.75">
      <c r="C64" s="1">
        <f>B64*W64</f>
        <v>0</v>
      </c>
      <c r="E64" s="1">
        <f>D64*W64</f>
        <v>0</v>
      </c>
      <c r="G64" s="1">
        <f>F64*W64</f>
        <v>0</v>
      </c>
      <c r="I64" s="1">
        <f>H64*W64</f>
        <v>0</v>
      </c>
      <c r="K64" s="1">
        <f>J64*W64</f>
        <v>0</v>
      </c>
      <c r="V64" s="1">
        <f>B64+D64+F64+H64+J64+L64</f>
        <v>0</v>
      </c>
    </row>
    <row r="65" spans="3:22" ht="12.75">
      <c r="C65" s="1">
        <f>B65*W65</f>
        <v>0</v>
      </c>
      <c r="E65" s="1">
        <f>D65*W65</f>
        <v>0</v>
      </c>
      <c r="G65" s="1">
        <f>F65*W65</f>
        <v>0</v>
      </c>
      <c r="I65" s="1">
        <f>H65*W65</f>
        <v>0</v>
      </c>
      <c r="K65" s="1">
        <f>J65*W65</f>
        <v>0</v>
      </c>
      <c r="V65" s="1">
        <f>B65+D65+F65+H65+J65+L65</f>
        <v>0</v>
      </c>
    </row>
    <row r="66" spans="3:22" ht="12.75">
      <c r="C66" s="1">
        <f>B66*W66</f>
        <v>0</v>
      </c>
      <c r="E66" s="1">
        <f>D66*W66</f>
        <v>0</v>
      </c>
      <c r="G66" s="1">
        <f>F66*W66</f>
        <v>0</v>
      </c>
      <c r="I66" s="1">
        <f>H66*W66</f>
        <v>0</v>
      </c>
      <c r="K66" s="1">
        <f>J66*W66</f>
        <v>0</v>
      </c>
      <c r="V66" s="1">
        <f>B66+D66+F66+H66+J66+L66</f>
        <v>0</v>
      </c>
    </row>
    <row r="67" spans="3:22" ht="12.75">
      <c r="C67" s="1">
        <f>B67*W67</f>
        <v>0</v>
      </c>
      <c r="E67" s="1">
        <f>D67*W67</f>
        <v>0</v>
      </c>
      <c r="G67" s="1">
        <f>F67*W67</f>
        <v>0</v>
      </c>
      <c r="I67" s="1">
        <f>H67*W67</f>
        <v>0</v>
      </c>
      <c r="K67" s="1">
        <f>J67*W67</f>
        <v>0</v>
      </c>
      <c r="V67" s="1">
        <f>B67+D67+F67+H67+J67+L67</f>
        <v>0</v>
      </c>
    </row>
    <row r="68" spans="3:22" ht="12.75">
      <c r="C68" s="1">
        <f>B68*W68</f>
        <v>0</v>
      </c>
      <c r="E68" s="1">
        <f>D68*W68</f>
        <v>0</v>
      </c>
      <c r="G68" s="1">
        <f>F68*W68</f>
        <v>0</v>
      </c>
      <c r="I68" s="1">
        <f>H68*W68</f>
        <v>0</v>
      </c>
      <c r="K68" s="1">
        <f>J68*W68</f>
        <v>0</v>
      </c>
      <c r="V68" s="1">
        <f>B68+D68+F68+H68+J68+L68</f>
        <v>0</v>
      </c>
    </row>
    <row r="69" spans="3:22" ht="12.75">
      <c r="C69" s="1">
        <f>B69*W69</f>
        <v>0</v>
      </c>
      <c r="E69" s="1">
        <f>D69*W69</f>
        <v>0</v>
      </c>
      <c r="G69" s="1">
        <f>F69*W69</f>
        <v>0</v>
      </c>
      <c r="I69" s="1">
        <f>H69*W69</f>
        <v>0</v>
      </c>
      <c r="K69" s="1">
        <f>J69*W69</f>
        <v>0</v>
      </c>
      <c r="V69" s="1">
        <f>B69+D69+F69+H69+J69+L69</f>
        <v>0</v>
      </c>
    </row>
    <row r="70" spans="3:22" ht="12.75">
      <c r="C70" s="1">
        <f>B70*W70</f>
        <v>0</v>
      </c>
      <c r="E70" s="1">
        <f>D70*W70</f>
        <v>0</v>
      </c>
      <c r="G70" s="1">
        <f>F70*W70</f>
        <v>0</v>
      </c>
      <c r="I70" s="1">
        <f>H70*W70</f>
        <v>0</v>
      </c>
      <c r="K70" s="1">
        <f>J70*W70</f>
        <v>0</v>
      </c>
      <c r="V70" s="1">
        <f>B70+D70+F70+H70+J70+L70</f>
        <v>0</v>
      </c>
    </row>
    <row r="71" spans="3:22" ht="12.75">
      <c r="C71" s="1">
        <f>B71*W71</f>
        <v>0</v>
      </c>
      <c r="E71" s="1">
        <f>D71*W71</f>
        <v>0</v>
      </c>
      <c r="G71" s="1">
        <f>F71*W71</f>
        <v>0</v>
      </c>
      <c r="I71" s="1">
        <f>H71*W71</f>
        <v>0</v>
      </c>
      <c r="K71" s="1">
        <f>J71*W71</f>
        <v>0</v>
      </c>
      <c r="V71" s="1">
        <f>B71+D71+F71+H71+J71+L71</f>
        <v>0</v>
      </c>
    </row>
    <row r="72" spans="3:22" ht="12.75">
      <c r="C72" s="1">
        <f>B72*W72</f>
        <v>0</v>
      </c>
      <c r="E72" s="1">
        <f>D72*W72</f>
        <v>0</v>
      </c>
      <c r="G72" s="1">
        <f>F72*W72</f>
        <v>0</v>
      </c>
      <c r="I72" s="1">
        <f>H72*W72</f>
        <v>0</v>
      </c>
      <c r="K72" s="1">
        <f>J72*W72</f>
        <v>0</v>
      </c>
      <c r="V72" s="1">
        <f>B72+D72+F72+H72+J72+L72</f>
        <v>0</v>
      </c>
    </row>
    <row r="73" spans="3:22" ht="12.75">
      <c r="C73" s="1">
        <f>B73*W73</f>
        <v>0</v>
      </c>
      <c r="E73" s="1">
        <f>D73*W73</f>
        <v>0</v>
      </c>
      <c r="G73" s="1">
        <f>F73*W73</f>
        <v>0</v>
      </c>
      <c r="I73" s="1">
        <f>H73*W73</f>
        <v>0</v>
      </c>
      <c r="K73" s="1">
        <f>J73*W73</f>
        <v>0</v>
      </c>
      <c r="V73" s="1">
        <f>B73+D73+F73+H73+J73+L73</f>
        <v>0</v>
      </c>
    </row>
    <row r="74" spans="3:22" ht="12.75">
      <c r="C74" s="1">
        <f>B74*W74</f>
        <v>0</v>
      </c>
      <c r="E74" s="1">
        <f>D74*W74</f>
        <v>0</v>
      </c>
      <c r="G74" s="1">
        <f>F74*W74</f>
        <v>0</v>
      </c>
      <c r="I74" s="1">
        <f>H74*W74</f>
        <v>0</v>
      </c>
      <c r="K74" s="1">
        <f>J74*W74</f>
        <v>0</v>
      </c>
      <c r="V74" s="1">
        <f>B74+D74+F74+H74+J74+L74</f>
        <v>0</v>
      </c>
    </row>
    <row r="75" spans="3:22" ht="12.75">
      <c r="C75" s="1">
        <f>B75*W75</f>
        <v>0</v>
      </c>
      <c r="E75" s="1">
        <f>D75*W75</f>
        <v>0</v>
      </c>
      <c r="G75" s="1">
        <f>F75*W75</f>
        <v>0</v>
      </c>
      <c r="K75" s="1">
        <f>J75*W75</f>
        <v>0</v>
      </c>
      <c r="V75" s="1">
        <f>B75+D75+F75+H75+J75+L75</f>
        <v>0</v>
      </c>
    </row>
    <row r="76" spans="3:22" ht="12.75">
      <c r="C76" s="1">
        <f>B76*W76</f>
        <v>0</v>
      </c>
      <c r="E76" s="1">
        <f>D76*W76</f>
        <v>0</v>
      </c>
      <c r="G76" s="1">
        <f>F76*W76</f>
        <v>0</v>
      </c>
      <c r="K76" s="1">
        <f>J76*W76</f>
        <v>0</v>
      </c>
      <c r="V76" s="1">
        <f>B76+D76+F76+H76+J76+L76</f>
        <v>0</v>
      </c>
    </row>
    <row r="77" spans="3:22" ht="12.75">
      <c r="C77" s="1">
        <f>B77*W77</f>
        <v>0</v>
      </c>
      <c r="E77" s="1">
        <f>D77*W77</f>
        <v>0</v>
      </c>
      <c r="G77" s="1">
        <f>F77*W77</f>
        <v>0</v>
      </c>
      <c r="K77" s="1">
        <f>J77*W77</f>
        <v>0</v>
      </c>
      <c r="V77" s="1">
        <f>B77+D77+F77+H77+J77+L77</f>
        <v>0</v>
      </c>
    </row>
    <row r="78" spans="3:22" ht="12.75">
      <c r="C78" s="1">
        <f>B78*W78</f>
        <v>0</v>
      </c>
      <c r="E78" s="1">
        <f>D78*W78</f>
        <v>0</v>
      </c>
      <c r="G78" s="1">
        <f>F78*W78</f>
        <v>0</v>
      </c>
      <c r="K78" s="1">
        <f>J78*W78</f>
        <v>0</v>
      </c>
      <c r="V78" s="1">
        <f>B78+D78+F78+H78+J78+L78</f>
        <v>0</v>
      </c>
    </row>
    <row r="79" spans="3:22" ht="12.75">
      <c r="C79" s="1">
        <f>B79*W79</f>
        <v>0</v>
      </c>
      <c r="E79" s="1">
        <f>D79*W79</f>
        <v>0</v>
      </c>
      <c r="G79" s="1">
        <f>F79*W79</f>
        <v>0</v>
      </c>
      <c r="V79" s="1">
        <f>B79+D79+F79+H79+J79+L79</f>
        <v>0</v>
      </c>
    </row>
    <row r="80" spans="3:22" ht="12.75">
      <c r="C80" s="1">
        <f>B80*W80</f>
        <v>0</v>
      </c>
      <c r="E80" s="1">
        <f>D80*W80</f>
        <v>0</v>
      </c>
      <c r="G80" s="1">
        <f>F80*W80</f>
        <v>0</v>
      </c>
      <c r="V80" s="1">
        <f>B80+D80+F80+H80+J80+L80</f>
        <v>0</v>
      </c>
    </row>
    <row r="81" spans="3:22" ht="12.75">
      <c r="C81" s="1">
        <f>B81*W81</f>
        <v>0</v>
      </c>
      <c r="E81" s="1">
        <f>D81*W81</f>
        <v>0</v>
      </c>
      <c r="G81" s="1">
        <f>F81*W81</f>
        <v>0</v>
      </c>
      <c r="V81" s="1">
        <f>B81+D81+F81+H81+J81+L81</f>
        <v>0</v>
      </c>
    </row>
    <row r="82" spans="3:22" ht="12.75">
      <c r="C82" s="1">
        <f>B82*W82</f>
        <v>0</v>
      </c>
      <c r="E82" s="1">
        <f>D82*W82</f>
        <v>0</v>
      </c>
      <c r="G82" s="1">
        <f>F82*W82</f>
        <v>0</v>
      </c>
      <c r="V82" s="1">
        <f>B82+D82+F82+H82+J82+L82</f>
        <v>0</v>
      </c>
    </row>
    <row r="83" spans="3:22" ht="12.75">
      <c r="C83" s="1">
        <f>B83*W83</f>
        <v>0</v>
      </c>
      <c r="E83" s="1">
        <f>D83*W83</f>
        <v>0</v>
      </c>
      <c r="G83" s="1">
        <f>F83*W83</f>
        <v>0</v>
      </c>
      <c r="V83" s="1">
        <f>B83+D83+F83+H83+J83+L83</f>
        <v>0</v>
      </c>
    </row>
    <row r="84" spans="3:22" ht="12.75">
      <c r="C84" s="1">
        <f>B84*W84</f>
        <v>0</v>
      </c>
      <c r="E84" s="1">
        <f>D84*W84</f>
        <v>0</v>
      </c>
      <c r="G84" s="1">
        <f>F84*W84</f>
        <v>0</v>
      </c>
      <c r="V84" s="1">
        <f>B84+D84+F84+H84+J84+L84</f>
        <v>0</v>
      </c>
    </row>
    <row r="85" spans="3:22" ht="12.75">
      <c r="C85" s="1">
        <f>B85*W85</f>
        <v>0</v>
      </c>
      <c r="E85" s="1">
        <f>D85*W85</f>
        <v>0</v>
      </c>
      <c r="G85" s="1">
        <f>F85*W85</f>
        <v>0</v>
      </c>
      <c r="V85" s="1">
        <f>B85+D85+F85+H85+J85+L85</f>
        <v>0</v>
      </c>
    </row>
    <row r="86" spans="3:22" ht="12.75">
      <c r="C86" s="1">
        <f>B86*W86</f>
        <v>0</v>
      </c>
      <c r="E86" s="1">
        <f>D86*W86</f>
        <v>0</v>
      </c>
      <c r="V86" s="1">
        <f>B86+D86+F86+H86+J86+L86</f>
        <v>0</v>
      </c>
    </row>
    <row r="87" spans="3:22" ht="12.75">
      <c r="C87" s="1">
        <f>B87*W87</f>
        <v>0</v>
      </c>
      <c r="E87" s="1">
        <f>D87*W87</f>
        <v>0</v>
      </c>
      <c r="V87" s="1">
        <f>B87+D87+F87+H87+J87+L87</f>
        <v>0</v>
      </c>
    </row>
    <row r="88" spans="3:22" ht="12.75">
      <c r="C88" s="1">
        <f>B88*W88</f>
        <v>0</v>
      </c>
      <c r="E88" s="1">
        <f>D88*W88</f>
        <v>0</v>
      </c>
      <c r="V88" s="1">
        <f>B88+D88+F88+H88+J88+L88</f>
        <v>0</v>
      </c>
    </row>
    <row r="89" spans="3:22" ht="12.75">
      <c r="C89" s="1">
        <f>B89*W89</f>
        <v>0</v>
      </c>
      <c r="E89" s="1">
        <f>D89*W89</f>
        <v>0</v>
      </c>
      <c r="V89" s="1">
        <f>B89+D89+F89+H89+J89+L89</f>
        <v>0</v>
      </c>
    </row>
    <row r="90" spans="3:22" ht="12.75">
      <c r="C90" s="1">
        <f>B90*W90</f>
        <v>0</v>
      </c>
      <c r="E90" s="1">
        <f>D90*W90</f>
        <v>0</v>
      </c>
      <c r="V90" s="1">
        <f>B90+D90+F90+H90+J90+L90</f>
        <v>0</v>
      </c>
    </row>
    <row r="91" spans="3:22" ht="12.75">
      <c r="C91" s="1">
        <f>B91*W91</f>
        <v>0</v>
      </c>
      <c r="E91" s="1">
        <f>D91*W91</f>
        <v>0</v>
      </c>
      <c r="V91" s="1">
        <f>B91+D91+F91+H91+J91+L91</f>
        <v>0</v>
      </c>
    </row>
    <row r="92" spans="3:22" ht="12.75">
      <c r="C92" s="1">
        <f>B92*W92</f>
        <v>0</v>
      </c>
      <c r="E92" s="1">
        <f>D92*W92</f>
        <v>0</v>
      </c>
      <c r="V92" s="1">
        <f>B92+D92+F92+H92+J92+L92</f>
        <v>0</v>
      </c>
    </row>
    <row r="93" spans="3:22" ht="12.75">
      <c r="C93" s="1">
        <f>B93*W93</f>
        <v>0</v>
      </c>
      <c r="E93" s="1">
        <f>D93*W93</f>
        <v>0</v>
      </c>
      <c r="V93" s="1">
        <f>B93+D93+F93+H93+J93+L93</f>
        <v>0</v>
      </c>
    </row>
    <row r="94" spans="3:22" ht="12.75">
      <c r="C94" s="1">
        <f>B94*W94</f>
        <v>0</v>
      </c>
      <c r="E94" s="1">
        <f>D94*W94</f>
        <v>0</v>
      </c>
      <c r="V94" s="1">
        <f>B94+D94+F94+H94+J94+L94</f>
        <v>0</v>
      </c>
    </row>
    <row r="95" spans="3:22" ht="12.75">
      <c r="C95" s="1">
        <f>B95*W95</f>
        <v>0</v>
      </c>
      <c r="E95" s="1">
        <f>D95*W95</f>
        <v>0</v>
      </c>
      <c r="V95" s="1">
        <f>B95+D95+F95+H95+J95+L95</f>
        <v>0</v>
      </c>
    </row>
    <row r="96" spans="3:22" ht="12.75">
      <c r="C96" s="1">
        <f>B96*W96</f>
        <v>0</v>
      </c>
      <c r="E96" s="1">
        <f>D96*W96</f>
        <v>0</v>
      </c>
      <c r="V96" s="1">
        <f>B96+D96+F96+H96+J96+L96</f>
        <v>0</v>
      </c>
    </row>
    <row r="97" spans="3:22" ht="12.75">
      <c r="C97" s="1">
        <f>B97*W97</f>
        <v>0</v>
      </c>
      <c r="E97" s="1">
        <f>D97*W97</f>
        <v>0</v>
      </c>
      <c r="V97" s="1">
        <f>B97+D97+F97+H97+J97+L97</f>
        <v>0</v>
      </c>
    </row>
    <row r="98" spans="3:22" ht="12.75">
      <c r="C98" s="1">
        <f>B98*W98</f>
        <v>0</v>
      </c>
      <c r="E98" s="1">
        <f>D98*W98</f>
        <v>0</v>
      </c>
      <c r="V98" s="1">
        <f>B98+D98+F98+H98+J98+L98</f>
        <v>0</v>
      </c>
    </row>
    <row r="99" spans="3:22" ht="12.75">
      <c r="C99" s="1">
        <f>B99*W99</f>
        <v>0</v>
      </c>
      <c r="E99" s="1">
        <f>D99*W99</f>
        <v>0</v>
      </c>
      <c r="V99" s="1">
        <f>B99+D99+F99+H99+J99+L99</f>
        <v>0</v>
      </c>
    </row>
    <row r="100" spans="3:22" ht="12.75">
      <c r="C100" s="1">
        <f>B100*W100</f>
        <v>0</v>
      </c>
      <c r="E100" s="1">
        <f>D100*W100</f>
        <v>0</v>
      </c>
      <c r="V100" s="1">
        <f>B100+D100+F100+H100+J100+L100</f>
        <v>0</v>
      </c>
    </row>
    <row r="101" spans="3:22" ht="12.75">
      <c r="C101" s="1">
        <f>B101*W101</f>
        <v>0</v>
      </c>
      <c r="E101" s="1">
        <f>D101*W101</f>
        <v>0</v>
      </c>
      <c r="V101" s="1">
        <f>B101+D101+F101+H101+J101+L101</f>
        <v>0</v>
      </c>
    </row>
    <row r="102" spans="3:22" ht="12.75">
      <c r="C102" s="1">
        <f>B102*W102</f>
        <v>0</v>
      </c>
      <c r="E102" s="1">
        <f>D102*W102</f>
        <v>0</v>
      </c>
      <c r="V102" s="1">
        <f>B102+D102+F102+H102+J102+L102</f>
        <v>0</v>
      </c>
    </row>
    <row r="103" ht="12.75">
      <c r="C103" s="1">
        <f>B103*W103</f>
        <v>0</v>
      </c>
    </row>
    <row r="104" ht="12.75">
      <c r="C104" s="1">
        <f>B104*W104</f>
        <v>0</v>
      </c>
    </row>
    <row r="105" ht="12.75">
      <c r="C105" s="1">
        <f>B105*W105</f>
        <v>0</v>
      </c>
    </row>
    <row r="106" ht="12.75">
      <c r="C106" s="1">
        <f>B106*W106</f>
        <v>0</v>
      </c>
    </row>
    <row r="107" ht="12.75">
      <c r="C107" s="1">
        <f>B107*W107</f>
        <v>0</v>
      </c>
    </row>
    <row r="108" ht="12.75">
      <c r="C108" s="1">
        <f>B108*W108</f>
        <v>0</v>
      </c>
    </row>
    <row r="109" ht="12.75">
      <c r="C109" s="1">
        <f>B109*W109</f>
        <v>0</v>
      </c>
    </row>
    <row r="110" ht="12.75">
      <c r="C110" s="1">
        <f>B110*W110</f>
        <v>0</v>
      </c>
    </row>
    <row r="111" ht="12.75">
      <c r="C111" s="1">
        <f>B111*W111</f>
        <v>0</v>
      </c>
    </row>
    <row r="112" ht="12.75">
      <c r="C112" s="1">
        <f>B112*W112</f>
        <v>0</v>
      </c>
    </row>
    <row r="113" ht="12.75">
      <c r="C113" s="1">
        <f>B113*W113</f>
        <v>0</v>
      </c>
    </row>
    <row r="114" ht="12.75">
      <c r="C114" s="1">
        <f>B114*W114</f>
        <v>0</v>
      </c>
    </row>
    <row r="115" ht="12.75">
      <c r="C115" s="1">
        <f>B115*W115</f>
        <v>0</v>
      </c>
    </row>
    <row r="116" ht="12.75">
      <c r="C116" s="1">
        <f>B116*W116</f>
        <v>0</v>
      </c>
    </row>
    <row r="117" ht="12.75">
      <c r="C117" s="1">
        <f>B117*W117</f>
        <v>0</v>
      </c>
    </row>
    <row r="118" ht="12.75">
      <c r="C118" s="1">
        <f>B118*W118</f>
        <v>0</v>
      </c>
    </row>
    <row r="119" ht="12.75">
      <c r="C119" s="1">
        <f>B119*W119</f>
        <v>0</v>
      </c>
    </row>
    <row r="120" ht="12.75">
      <c r="C120" s="1">
        <f>B120*W120</f>
        <v>0</v>
      </c>
    </row>
    <row r="121" ht="12.75">
      <c r="C121" s="1">
        <f>B121*W121</f>
        <v>0</v>
      </c>
    </row>
    <row r="122" ht="12.75">
      <c r="C122" s="1">
        <f>B122*W122</f>
        <v>0</v>
      </c>
    </row>
    <row r="123" ht="12.75">
      <c r="C123" s="1">
        <f>B123*W123</f>
        <v>0</v>
      </c>
    </row>
    <row r="124" ht="12.75">
      <c r="C124" s="1">
        <f>B124*W124</f>
        <v>0</v>
      </c>
    </row>
    <row r="125" ht="12.75">
      <c r="C125" s="1">
        <f>B125*W125</f>
        <v>0</v>
      </c>
    </row>
    <row r="126" ht="12.75">
      <c r="C126" s="1">
        <f>B126*W126</f>
        <v>0</v>
      </c>
    </row>
    <row r="127" ht="12.75">
      <c r="C127" s="1">
        <f>B127*W127</f>
        <v>0</v>
      </c>
    </row>
    <row r="128" ht="12.75">
      <c r="C128" s="1">
        <f>B128*W128</f>
        <v>0</v>
      </c>
    </row>
    <row r="129" ht="12.75">
      <c r="C129" s="1">
        <f>B129*W129</f>
        <v>0</v>
      </c>
    </row>
    <row r="130" ht="12.75">
      <c r="C130" s="1">
        <f>B130*W130</f>
        <v>0</v>
      </c>
    </row>
    <row r="131" ht="12.75">
      <c r="C131" s="1">
        <f>B131*W131</f>
        <v>0</v>
      </c>
    </row>
    <row r="132" ht="12.75">
      <c r="C132" s="1">
        <f>B132*W132</f>
        <v>0</v>
      </c>
    </row>
    <row r="133" ht="12.75">
      <c r="C133" s="1">
        <f>B133*W133</f>
        <v>0</v>
      </c>
    </row>
    <row r="134" ht="12.75">
      <c r="C134" s="1">
        <f>B134*W134</f>
        <v>0</v>
      </c>
    </row>
    <row r="135" ht="12.75">
      <c r="C135" s="1">
        <f>B135*W135</f>
        <v>0</v>
      </c>
    </row>
    <row r="136" ht="12.75">
      <c r="C136" s="1">
        <f>B136*W136</f>
        <v>0</v>
      </c>
    </row>
    <row r="137" ht="12.75">
      <c r="C137" s="1">
        <f>B137*W137</f>
        <v>0</v>
      </c>
    </row>
    <row r="138" ht="12.75">
      <c r="C138" s="1">
        <f>B138*W138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3"/>
  <sheetViews>
    <sheetView zoomScale="90" zoomScaleNormal="90" workbookViewId="0" topLeftCell="A1">
      <pane xSplit="20" topLeftCell="U1" activePane="topRight" state="frozen"/>
      <selection pane="topLeft" activeCell="A1" sqref="A1"/>
      <selection pane="topRight" activeCell="A31" sqref="A31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5" width="5.57421875" style="1" customWidth="1"/>
    <col min="16" max="16" width="11.57421875" style="1" customWidth="1"/>
    <col min="17" max="17" width="7.57421875" style="1" customWidth="1"/>
    <col min="18" max="18" width="3.57421875" style="1" customWidth="1"/>
    <col min="19" max="19" width="9.28125" style="1" customWidth="1"/>
    <col min="20" max="20" width="7.28125" style="1" customWidth="1"/>
    <col min="21" max="21" width="7.7109375" style="1" customWidth="1"/>
    <col min="22" max="22" width="30.28125" style="1" customWidth="1"/>
    <col min="23" max="23" width="16.7109375" style="1" customWidth="1"/>
    <col min="24" max="24" width="7.57421875" style="1" customWidth="1"/>
    <col min="25" max="25" width="7.28125" style="2" customWidth="1"/>
    <col min="26" max="26" width="1.57421875" style="1" customWidth="1"/>
    <col min="27" max="27" width="3.00390625" style="1" customWidth="1"/>
    <col min="28" max="28" width="2.00390625" style="1" customWidth="1"/>
    <col min="29" max="29" width="18.140625" style="1" customWidth="1"/>
    <col min="30" max="30" width="12.8515625" style="1" customWidth="1"/>
    <col min="31" max="31" width="1.57421875" style="1" customWidth="1"/>
    <col min="32" max="32" width="15.28125" style="1" customWidth="1"/>
    <col min="33" max="33" width="15.7109375" style="1" customWidth="1"/>
    <col min="34" max="34" width="2.140625" style="1" customWidth="1"/>
    <col min="35" max="35" width="24.28125" style="1" customWidth="1"/>
    <col min="36" max="36" width="11.57421875" style="1" customWidth="1"/>
    <col min="37" max="37" width="2.57421875" style="1" customWidth="1"/>
    <col min="38" max="38" width="13.421875" style="1" customWidth="1"/>
    <col min="39" max="39" width="11.57421875" style="1" customWidth="1"/>
    <col min="40" max="40" width="2.8515625" style="1" customWidth="1"/>
    <col min="41" max="16384" width="11.57421875" style="1" customWidth="1"/>
  </cols>
  <sheetData>
    <row r="1" spans="1:27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15</v>
      </c>
      <c r="P1" s="37" t="s">
        <v>16</v>
      </c>
      <c r="Q1" s="37" t="s">
        <v>17</v>
      </c>
      <c r="R1" s="37" t="s">
        <v>18</v>
      </c>
      <c r="S1" s="37" t="s">
        <v>19</v>
      </c>
      <c r="T1" s="37" t="s">
        <v>20</v>
      </c>
      <c r="U1" s="1" t="s">
        <v>21</v>
      </c>
      <c r="V1" s="1" t="s">
        <v>249</v>
      </c>
      <c r="W1" s="55" t="s">
        <v>22</v>
      </c>
      <c r="X1" s="55" t="s">
        <v>23</v>
      </c>
      <c r="Y1" s="56" t="s">
        <v>24</v>
      </c>
      <c r="AA1" s="1" t="s">
        <v>25</v>
      </c>
    </row>
    <row r="2" spans="1:42" ht="12.75">
      <c r="A2" s="5">
        <v>42309</v>
      </c>
      <c r="B2" s="1">
        <v>142</v>
      </c>
      <c r="C2" s="1">
        <f>B2*X2</f>
        <v>35.5</v>
      </c>
      <c r="D2" s="1">
        <f>140+30</f>
        <v>170</v>
      </c>
      <c r="E2" s="1">
        <f>D2*X2</f>
        <v>42.5</v>
      </c>
      <c r="G2" s="1">
        <f>F2*X2</f>
        <v>0</v>
      </c>
      <c r="I2" s="1">
        <f>H2*X2</f>
        <v>0</v>
      </c>
      <c r="J2" s="1">
        <f>30+2</f>
        <v>32</v>
      </c>
      <c r="K2" s="1">
        <f>J2*X2</f>
        <v>8</v>
      </c>
      <c r="M2" s="1">
        <f>L2*X2</f>
        <v>0</v>
      </c>
      <c r="N2" s="37"/>
      <c r="O2" s="37"/>
      <c r="P2" s="37"/>
      <c r="Q2" s="37"/>
      <c r="R2" s="37" t="s">
        <v>26</v>
      </c>
      <c r="S2" s="37"/>
      <c r="T2" s="37"/>
      <c r="V2" s="1" t="s">
        <v>250</v>
      </c>
      <c r="W2" s="55">
        <f>B2+D2+F2+H2+J2+L2</f>
        <v>344</v>
      </c>
      <c r="X2" s="55">
        <v>0.25</v>
      </c>
      <c r="Y2" s="57">
        <f>W2*X2</f>
        <v>86</v>
      </c>
      <c r="AA2" s="1">
        <f>1</f>
        <v>1</v>
      </c>
      <c r="AC2" s="44" t="s">
        <v>28</v>
      </c>
      <c r="AD2" s="44">
        <f>SUM(Y2:Y995)</f>
        <v>1674.25</v>
      </c>
      <c r="AE2" s="44"/>
      <c r="AF2" s="44" t="s">
        <v>29</v>
      </c>
      <c r="AG2" s="58">
        <f>AD2/AD5</f>
        <v>55.80833333333333</v>
      </c>
      <c r="AI2" s="44" t="s">
        <v>93</v>
      </c>
      <c r="AJ2" s="44">
        <f>COUNTBLANK(L2:L41)-COUNTBLANK(A2:A41)</f>
        <v>25</v>
      </c>
      <c r="AK2" s="7"/>
      <c r="AL2" s="59" t="s">
        <v>31</v>
      </c>
      <c r="AM2" s="59">
        <f>SUMIF(AA2:AA45,"=1",Y2:Y45)</f>
        <v>1674.25</v>
      </c>
      <c r="AN2" s="7"/>
      <c r="AO2" s="7"/>
      <c r="AP2" s="7"/>
    </row>
    <row r="3" spans="1:42" ht="12.75">
      <c r="A3" s="5">
        <v>42279</v>
      </c>
      <c r="C3" s="1">
        <f>B3*X3</f>
        <v>0</v>
      </c>
      <c r="D3" s="1">
        <f>67+46+34</f>
        <v>147</v>
      </c>
      <c r="E3" s="1">
        <f>D3*X3</f>
        <v>36.75</v>
      </c>
      <c r="G3" s="1">
        <f>F3*X3</f>
        <v>0</v>
      </c>
      <c r="I3" s="1">
        <f>H3*X3</f>
        <v>0</v>
      </c>
      <c r="K3" s="1">
        <f>J3*X3</f>
        <v>0</v>
      </c>
      <c r="M3" s="1">
        <f>L3*X3</f>
        <v>0</v>
      </c>
      <c r="N3" s="37"/>
      <c r="O3" s="37"/>
      <c r="P3" s="37"/>
      <c r="Q3" s="37"/>
      <c r="R3" s="37" t="s">
        <v>26</v>
      </c>
      <c r="S3" s="37"/>
      <c r="T3" s="37"/>
      <c r="V3" s="1" t="s">
        <v>251</v>
      </c>
      <c r="W3" s="55">
        <f>B3+D3+F3+H3+J3+L3</f>
        <v>147</v>
      </c>
      <c r="X3" s="55">
        <v>0.25</v>
      </c>
      <c r="Y3" s="57">
        <f>W3*X3</f>
        <v>36.75</v>
      </c>
      <c r="AA3" s="1">
        <f>1</f>
        <v>1</v>
      </c>
      <c r="AC3" s="49"/>
      <c r="AD3" s="44"/>
      <c r="AE3" s="44"/>
      <c r="AF3" s="49"/>
      <c r="AG3" s="45"/>
      <c r="AI3" s="44" t="s">
        <v>95</v>
      </c>
      <c r="AJ3" s="44">
        <f>COUNT(L2:L37)</f>
        <v>5</v>
      </c>
      <c r="AL3" s="59" t="s">
        <v>35</v>
      </c>
      <c r="AM3" s="59">
        <f>_xlfn.COUNTIFS(A2:A45,"&lt;&gt;''",AA2:AA45,"=1")</f>
        <v>30</v>
      </c>
      <c r="AN3" s="7"/>
      <c r="AO3" s="7"/>
      <c r="AP3" s="7"/>
    </row>
    <row r="4" spans="1:42" ht="12.75">
      <c r="A4" s="5">
        <v>42280</v>
      </c>
      <c r="B4" s="1">
        <v>142</v>
      </c>
      <c r="C4" s="1">
        <f>B4*X4</f>
        <v>35.5</v>
      </c>
      <c r="D4" s="1">
        <f>9+15</f>
        <v>24</v>
      </c>
      <c r="E4" s="1">
        <f>D4*X4</f>
        <v>6</v>
      </c>
      <c r="G4" s="1">
        <f>F4*X4</f>
        <v>0</v>
      </c>
      <c r="I4" s="1">
        <f>H4*X4</f>
        <v>0</v>
      </c>
      <c r="J4" s="1">
        <f>2+80</f>
        <v>82</v>
      </c>
      <c r="K4" s="1">
        <f>J4*X4</f>
        <v>20.5</v>
      </c>
      <c r="L4" s="1">
        <v>200</v>
      </c>
      <c r="M4" s="1">
        <f>L4*X4</f>
        <v>50</v>
      </c>
      <c r="N4" s="37"/>
      <c r="O4" s="37" t="s">
        <v>26</v>
      </c>
      <c r="P4" s="37"/>
      <c r="Q4" s="37"/>
      <c r="R4" s="37"/>
      <c r="S4" s="37"/>
      <c r="T4" s="37"/>
      <c r="V4" s="1" t="s">
        <v>252</v>
      </c>
      <c r="W4" s="55">
        <f>B4+D4+F4+H4+J4+L4</f>
        <v>448</v>
      </c>
      <c r="X4" s="55">
        <v>0.25</v>
      </c>
      <c r="Y4" s="57">
        <f>W4*X4</f>
        <v>112</v>
      </c>
      <c r="AA4" s="1">
        <v>1</v>
      </c>
      <c r="AC4" s="44"/>
      <c r="AD4" s="44"/>
      <c r="AE4" s="44"/>
      <c r="AF4" s="44"/>
      <c r="AG4" s="44"/>
      <c r="AI4" s="44" t="s">
        <v>218</v>
      </c>
      <c r="AJ4" s="44">
        <f>COUNTA(R2:R50)</f>
        <v>12</v>
      </c>
      <c r="AL4" s="59" t="s">
        <v>39</v>
      </c>
      <c r="AM4" s="59">
        <f>AM2/AM3</f>
        <v>55.80833333333333</v>
      </c>
      <c r="AN4" s="7"/>
      <c r="AO4" s="7"/>
      <c r="AP4" s="7"/>
    </row>
    <row r="5" spans="1:36" ht="12.75">
      <c r="A5" s="5">
        <v>42281</v>
      </c>
      <c r="C5" s="1">
        <f>B5*X5</f>
        <v>0</v>
      </c>
      <c r="D5" s="1">
        <f>20+13</f>
        <v>33</v>
      </c>
      <c r="E5" s="1">
        <f>D5*X5</f>
        <v>8.25</v>
      </c>
      <c r="G5" s="1">
        <f>F5*X5</f>
        <v>0</v>
      </c>
      <c r="H5" s="1">
        <v>60</v>
      </c>
      <c r="I5" s="1">
        <f>H5*X5</f>
        <v>15</v>
      </c>
      <c r="K5" s="1">
        <f>J5*X5</f>
        <v>0</v>
      </c>
      <c r="L5" s="1">
        <v>200</v>
      </c>
      <c r="M5" s="1">
        <f>L5*X5</f>
        <v>50</v>
      </c>
      <c r="N5" s="37"/>
      <c r="O5" s="37" t="s">
        <v>26</v>
      </c>
      <c r="P5" s="37"/>
      <c r="Q5" s="37"/>
      <c r="R5" s="37"/>
      <c r="S5" s="37"/>
      <c r="T5" s="37"/>
      <c r="V5" s="1" t="s">
        <v>253</v>
      </c>
      <c r="W5" s="55">
        <f>B5+D5+F5+H5+J5+L5</f>
        <v>293</v>
      </c>
      <c r="X5" s="55">
        <v>0.25</v>
      </c>
      <c r="Y5" s="57">
        <f>W5*X5</f>
        <v>73.25</v>
      </c>
      <c r="AA5" s="1">
        <v>1</v>
      </c>
      <c r="AC5" s="44" t="s">
        <v>42</v>
      </c>
      <c r="AD5" s="44">
        <f>COUNTA(A2:A350)</f>
        <v>30</v>
      </c>
      <c r="AE5" s="44"/>
      <c r="AF5" s="44"/>
      <c r="AG5" s="44"/>
      <c r="AI5" s="8"/>
      <c r="AJ5" s="8"/>
    </row>
    <row r="6" spans="1:35" ht="12.75">
      <c r="A6" s="5">
        <v>42282</v>
      </c>
      <c r="C6" s="1">
        <f>B6*X6</f>
        <v>0</v>
      </c>
      <c r="D6" s="1">
        <f>5+5+15+8+110+10+4</f>
        <v>157</v>
      </c>
      <c r="E6" s="1">
        <f>D6*X6</f>
        <v>39.25</v>
      </c>
      <c r="G6" s="1">
        <f>F6*X6</f>
        <v>0</v>
      </c>
      <c r="I6" s="1">
        <f>H6*X6</f>
        <v>0</v>
      </c>
      <c r="K6" s="1">
        <f>J6*X6</f>
        <v>0</v>
      </c>
      <c r="L6" s="1">
        <v>40</v>
      </c>
      <c r="M6" s="1">
        <f>L6*X6</f>
        <v>10</v>
      </c>
      <c r="N6" s="37" t="s">
        <v>26</v>
      </c>
      <c r="O6" s="37"/>
      <c r="P6" s="37"/>
      <c r="Q6" s="37"/>
      <c r="R6" s="37"/>
      <c r="S6" s="37"/>
      <c r="T6" s="37"/>
      <c r="U6" s="1">
        <v>2</v>
      </c>
      <c r="V6" s="1" t="s">
        <v>253</v>
      </c>
      <c r="W6" s="55">
        <f>B6+D6+F6+H6+J6+L6</f>
        <v>197</v>
      </c>
      <c r="X6" s="55">
        <v>0.25</v>
      </c>
      <c r="Y6" s="57">
        <f>W6*X6</f>
        <v>49.25</v>
      </c>
      <c r="AA6" s="1">
        <v>1</v>
      </c>
      <c r="AC6" s="49"/>
      <c r="AD6" s="44"/>
      <c r="AE6" s="44"/>
      <c r="AF6" s="44"/>
      <c r="AG6" s="44"/>
      <c r="AI6" s="8"/>
    </row>
    <row r="7" spans="1:33" ht="12.75">
      <c r="A7" s="5">
        <v>42314</v>
      </c>
      <c r="B7" s="1">
        <v>15</v>
      </c>
      <c r="C7" s="1">
        <f>B7*X7</f>
        <v>3.75</v>
      </c>
      <c r="D7" s="1">
        <f>28+18</f>
        <v>46</v>
      </c>
      <c r="E7" s="1">
        <f>D7*X7</f>
        <v>11.5</v>
      </c>
      <c r="G7" s="1">
        <f>F7*X7</f>
        <v>0</v>
      </c>
      <c r="I7" s="1">
        <f>H7*X7</f>
        <v>0</v>
      </c>
      <c r="K7" s="1">
        <f>J7*X7</f>
        <v>0</v>
      </c>
      <c r="L7" s="1">
        <v>200</v>
      </c>
      <c r="M7" s="1">
        <f>L7*X7</f>
        <v>50</v>
      </c>
      <c r="N7" s="37"/>
      <c r="O7" s="37" t="s">
        <v>26</v>
      </c>
      <c r="P7" s="37"/>
      <c r="Q7" s="37"/>
      <c r="R7" s="37"/>
      <c r="S7" s="37"/>
      <c r="T7" s="37"/>
      <c r="U7" s="1">
        <v>2</v>
      </c>
      <c r="V7" s="1" t="s">
        <v>254</v>
      </c>
      <c r="W7" s="55">
        <f>B7+D7+F7+H7+J7+L7</f>
        <v>261</v>
      </c>
      <c r="X7" s="55">
        <v>0.25</v>
      </c>
      <c r="Y7" s="57">
        <f>W7*X7</f>
        <v>65.25</v>
      </c>
      <c r="AA7" s="1">
        <v>1</v>
      </c>
      <c r="AC7" s="44"/>
      <c r="AD7" s="44"/>
      <c r="AE7" s="44"/>
      <c r="AF7" s="44"/>
      <c r="AG7" s="44"/>
    </row>
    <row r="8" spans="1:36" ht="12.75">
      <c r="A8" s="5">
        <v>42315</v>
      </c>
      <c r="B8" s="1">
        <f>72+756</f>
        <v>828</v>
      </c>
      <c r="C8" s="1">
        <f>B8*X8</f>
        <v>207</v>
      </c>
      <c r="E8" s="1">
        <f>D8*X8</f>
        <v>0</v>
      </c>
      <c r="G8" s="1">
        <f>F8*X8</f>
        <v>0</v>
      </c>
      <c r="I8" s="1">
        <f>H8*X8</f>
        <v>0</v>
      </c>
      <c r="J8" s="1">
        <v>4</v>
      </c>
      <c r="K8" s="1">
        <f>J8*X8</f>
        <v>1</v>
      </c>
      <c r="M8" s="1">
        <f>L8*X8</f>
        <v>0</v>
      </c>
      <c r="N8" s="37"/>
      <c r="O8" s="37"/>
      <c r="P8" s="37"/>
      <c r="Q8" s="37"/>
      <c r="R8" s="37" t="s">
        <v>26</v>
      </c>
      <c r="S8" s="37"/>
      <c r="T8" s="37"/>
      <c r="V8" s="1" t="s">
        <v>255</v>
      </c>
      <c r="W8" s="55">
        <f>B8+D8+F8+H8+J8+L8</f>
        <v>832</v>
      </c>
      <c r="X8" s="55">
        <v>0.25</v>
      </c>
      <c r="Y8" s="57">
        <f>W8*X8</f>
        <v>208</v>
      </c>
      <c r="AA8" s="1">
        <v>1</v>
      </c>
      <c r="AC8" s="44" t="s">
        <v>48</v>
      </c>
      <c r="AD8" s="54">
        <f>SUM(M2:M995)</f>
        <v>285</v>
      </c>
      <c r="AE8" s="44"/>
      <c r="AF8" s="44" t="s">
        <v>224</v>
      </c>
      <c r="AG8" s="54">
        <f>AD8/$AD$5</f>
        <v>9.5</v>
      </c>
      <c r="AI8" s="8"/>
      <c r="AJ8" s="8"/>
    </row>
    <row r="9" spans="1:35" ht="12.75">
      <c r="A9" s="5">
        <v>42316</v>
      </c>
      <c r="C9" s="1">
        <f>B9*X9</f>
        <v>0</v>
      </c>
      <c r="E9" s="1">
        <f>D9*X9</f>
        <v>0</v>
      </c>
      <c r="F9" s="1">
        <v>194</v>
      </c>
      <c r="G9" s="1">
        <f>F9*X9</f>
        <v>48.5</v>
      </c>
      <c r="I9" s="1">
        <f>H9*X9</f>
        <v>0</v>
      </c>
      <c r="K9" s="1">
        <f>J9*X9</f>
        <v>0</v>
      </c>
      <c r="M9" s="1">
        <f>L9*X9</f>
        <v>0</v>
      </c>
      <c r="N9" s="37"/>
      <c r="O9" s="37"/>
      <c r="P9" s="37"/>
      <c r="Q9" s="37"/>
      <c r="R9" s="37" t="s">
        <v>26</v>
      </c>
      <c r="S9" s="37"/>
      <c r="T9" s="37"/>
      <c r="V9" s="1" t="s">
        <v>256</v>
      </c>
      <c r="W9" s="55">
        <f>B9+D9+F9+H9+J9+L9</f>
        <v>194</v>
      </c>
      <c r="X9" s="55">
        <v>0.25</v>
      </c>
      <c r="Y9" s="57">
        <f>W9*X9</f>
        <v>48.5</v>
      </c>
      <c r="AA9" s="1">
        <v>1</v>
      </c>
      <c r="AC9" s="44" t="s">
        <v>50</v>
      </c>
      <c r="AD9" s="44">
        <f>SUM(C2:C995)</f>
        <v>517.25</v>
      </c>
      <c r="AE9" s="44"/>
      <c r="AF9" s="44" t="s">
        <v>227</v>
      </c>
      <c r="AG9" s="44">
        <f>AD9/$AD$5</f>
        <v>17.241666666666667</v>
      </c>
      <c r="AI9" s="8"/>
    </row>
    <row r="10" spans="1:33" ht="12.75">
      <c r="A10" s="5">
        <v>42317</v>
      </c>
      <c r="C10" s="1">
        <f>B10*X10</f>
        <v>0</v>
      </c>
      <c r="D10" s="1">
        <f>69+30+100</f>
        <v>199</v>
      </c>
      <c r="E10" s="1">
        <f>D10*X10</f>
        <v>49.75</v>
      </c>
      <c r="G10" s="1">
        <f>F10*X10</f>
        <v>0</v>
      </c>
      <c r="I10" s="1">
        <f>H10*X10</f>
        <v>0</v>
      </c>
      <c r="K10" s="1">
        <f>J10*X10</f>
        <v>0</v>
      </c>
      <c r="M10" s="1">
        <f>L10*X10</f>
        <v>0</v>
      </c>
      <c r="N10" s="37"/>
      <c r="O10" s="37"/>
      <c r="P10" s="37"/>
      <c r="Q10" s="37"/>
      <c r="R10" s="37" t="s">
        <v>26</v>
      </c>
      <c r="S10" s="37"/>
      <c r="T10" s="37"/>
      <c r="V10" s="1" t="s">
        <v>257</v>
      </c>
      <c r="W10" s="55">
        <f>B10+D10+F10+H10+J10+L10</f>
        <v>199</v>
      </c>
      <c r="X10" s="55">
        <v>0.25</v>
      </c>
      <c r="Y10" s="57">
        <f>W10*X10</f>
        <v>49.75</v>
      </c>
      <c r="AA10" s="1">
        <v>1</v>
      </c>
      <c r="AC10" s="44" t="s">
        <v>51</v>
      </c>
      <c r="AD10" s="54">
        <f>SUM(E2:E995)</f>
        <v>641</v>
      </c>
      <c r="AE10" s="44"/>
      <c r="AF10" s="44" t="s">
        <v>228</v>
      </c>
      <c r="AG10" s="44">
        <f>AD10/$AD$5</f>
        <v>21.366666666666667</v>
      </c>
    </row>
    <row r="11" spans="1:33" ht="12.75">
      <c r="A11" s="5">
        <v>42318</v>
      </c>
      <c r="C11" s="1">
        <f>B11*X11</f>
        <v>0</v>
      </c>
      <c r="D11" s="1">
        <v>100</v>
      </c>
      <c r="E11" s="1">
        <f>D11*X11</f>
        <v>25</v>
      </c>
      <c r="G11" s="1">
        <f>F11*X11</f>
        <v>0</v>
      </c>
      <c r="I11" s="1">
        <f>H11*X11</f>
        <v>0</v>
      </c>
      <c r="J11" s="1">
        <v>100</v>
      </c>
      <c r="K11" s="1">
        <f>J11*X11</f>
        <v>25</v>
      </c>
      <c r="M11" s="1">
        <f>L11*X11</f>
        <v>0</v>
      </c>
      <c r="N11" s="37"/>
      <c r="O11" s="37"/>
      <c r="P11" s="37"/>
      <c r="Q11" s="37"/>
      <c r="R11" s="37" t="s">
        <v>26</v>
      </c>
      <c r="S11" s="37"/>
      <c r="T11" s="37"/>
      <c r="V11" s="1" t="s">
        <v>257</v>
      </c>
      <c r="W11" s="55">
        <f>B11+D11+F11+H11+J11+L11</f>
        <v>200</v>
      </c>
      <c r="X11" s="55">
        <v>0.25</v>
      </c>
      <c r="Y11" s="57">
        <f>W11*X11</f>
        <v>50</v>
      </c>
      <c r="AA11" s="1">
        <v>1</v>
      </c>
      <c r="AC11" s="44" t="s">
        <v>54</v>
      </c>
      <c r="AD11" s="54">
        <f>SUM(G2:G995)</f>
        <v>111</v>
      </c>
      <c r="AE11" s="44"/>
      <c r="AF11" s="44" t="s">
        <v>229</v>
      </c>
      <c r="AG11" s="54">
        <f>AD11/$AD$5</f>
        <v>3.7</v>
      </c>
    </row>
    <row r="12" spans="1:33" ht="12.75">
      <c r="A12" s="5">
        <v>42319</v>
      </c>
      <c r="C12" s="1">
        <f>B12*X12</f>
        <v>0</v>
      </c>
      <c r="D12" s="1">
        <f>135+28+20</f>
        <v>183</v>
      </c>
      <c r="E12" s="1">
        <f>D12*X12</f>
        <v>45.75</v>
      </c>
      <c r="F12" s="1">
        <v>100</v>
      </c>
      <c r="G12" s="1">
        <f>F12*X12</f>
        <v>25</v>
      </c>
      <c r="I12" s="1">
        <f>H12*X12</f>
        <v>0</v>
      </c>
      <c r="J12" s="1">
        <v>30</v>
      </c>
      <c r="K12" s="1">
        <f>J12*X12</f>
        <v>7.5</v>
      </c>
      <c r="M12" s="1">
        <f>L12*X12</f>
        <v>0</v>
      </c>
      <c r="N12" s="37"/>
      <c r="O12" s="37"/>
      <c r="P12" s="37"/>
      <c r="Q12" s="37"/>
      <c r="R12" s="37" t="s">
        <v>26</v>
      </c>
      <c r="S12" s="37"/>
      <c r="T12" s="37"/>
      <c r="V12" s="1" t="s">
        <v>257</v>
      </c>
      <c r="W12" s="55">
        <f>B12+D12+F12+H12+J12+L12</f>
        <v>313</v>
      </c>
      <c r="X12" s="55">
        <v>0.25</v>
      </c>
      <c r="Y12" s="57">
        <f>W12*X12</f>
        <v>78.25</v>
      </c>
      <c r="AA12" s="1">
        <v>1</v>
      </c>
      <c r="AC12" s="44" t="s">
        <v>57</v>
      </c>
      <c r="AD12" s="54">
        <f>SUM(K2:K995)</f>
        <v>105</v>
      </c>
      <c r="AE12" s="44"/>
      <c r="AF12" s="44" t="s">
        <v>231</v>
      </c>
      <c r="AG12" s="54">
        <f>AD12/$AD$5</f>
        <v>3.5</v>
      </c>
    </row>
    <row r="13" spans="1:33" ht="12.75">
      <c r="A13" s="5">
        <v>42320</v>
      </c>
      <c r="C13" s="1">
        <f>B13*X13</f>
        <v>0</v>
      </c>
      <c r="D13" s="1">
        <v>128</v>
      </c>
      <c r="E13" s="1">
        <f>D13*X13</f>
        <v>32</v>
      </c>
      <c r="G13" s="1">
        <f>F13*X13</f>
        <v>0</v>
      </c>
      <c r="I13" s="1">
        <f>H13*X13</f>
        <v>0</v>
      </c>
      <c r="K13" s="1">
        <f>J13*X13</f>
        <v>0</v>
      </c>
      <c r="M13" s="1">
        <f>L13*X13</f>
        <v>0</v>
      </c>
      <c r="N13" s="37"/>
      <c r="O13" s="37"/>
      <c r="P13" s="37"/>
      <c r="Q13" s="37"/>
      <c r="R13" s="37" t="s">
        <v>26</v>
      </c>
      <c r="S13" s="37"/>
      <c r="T13" s="37"/>
      <c r="V13" s="1" t="s">
        <v>257</v>
      </c>
      <c r="W13" s="55">
        <f>B13+D13+F13+H13+J13+L13</f>
        <v>128</v>
      </c>
      <c r="X13" s="55">
        <v>0.25</v>
      </c>
      <c r="Y13" s="57">
        <f>W13*X13</f>
        <v>32</v>
      </c>
      <c r="AA13" s="1">
        <v>1</v>
      </c>
      <c r="AC13" s="44" t="s">
        <v>58</v>
      </c>
      <c r="AD13" s="44">
        <f>SUM(I2:I995)</f>
        <v>15</v>
      </c>
      <c r="AE13" s="44"/>
      <c r="AF13" s="44" t="s">
        <v>233</v>
      </c>
      <c r="AG13" s="54">
        <f>AD13/$AD$5</f>
        <v>0.5</v>
      </c>
    </row>
    <row r="14" spans="1:27" ht="12.75">
      <c r="A14" s="5">
        <v>42321</v>
      </c>
      <c r="B14" s="1">
        <v>472</v>
      </c>
      <c r="C14" s="1">
        <f>B14*X14</f>
        <v>118</v>
      </c>
      <c r="D14" s="1">
        <v>20</v>
      </c>
      <c r="E14" s="1">
        <f>D14*X14</f>
        <v>5</v>
      </c>
      <c r="G14" s="1">
        <f>F14*X14</f>
        <v>0</v>
      </c>
      <c r="I14" s="1">
        <f>H14*X14</f>
        <v>0</v>
      </c>
      <c r="J14" s="1">
        <v>22</v>
      </c>
      <c r="K14" s="1">
        <f>J14*X14</f>
        <v>5.5</v>
      </c>
      <c r="M14" s="1">
        <f>L14*X14</f>
        <v>0</v>
      </c>
      <c r="N14" s="37"/>
      <c r="O14" s="37"/>
      <c r="P14" s="37"/>
      <c r="Q14" s="37"/>
      <c r="R14" s="37"/>
      <c r="S14" s="37"/>
      <c r="T14" s="37" t="s">
        <v>26</v>
      </c>
      <c r="U14" s="1">
        <v>3</v>
      </c>
      <c r="V14" s="1" t="s">
        <v>258</v>
      </c>
      <c r="W14" s="55">
        <f>B14+D14+F14+H14+J14+L14</f>
        <v>514</v>
      </c>
      <c r="X14" s="55">
        <v>0.25</v>
      </c>
      <c r="Y14" s="57">
        <f>W14*X14</f>
        <v>128.5</v>
      </c>
      <c r="AA14" s="1">
        <v>1</v>
      </c>
    </row>
    <row r="15" spans="1:30" ht="12.75">
      <c r="A15" s="5">
        <v>42322</v>
      </c>
      <c r="C15" s="1">
        <f>B15*X15</f>
        <v>0</v>
      </c>
      <c r="D15" s="1">
        <v>93</v>
      </c>
      <c r="E15" s="1">
        <f>D15*X15</f>
        <v>23.25</v>
      </c>
      <c r="G15" s="1">
        <f>F15*X15</f>
        <v>0</v>
      </c>
      <c r="I15" s="1">
        <f>H15*X15</f>
        <v>0</v>
      </c>
      <c r="K15" s="1">
        <f>J15*X15</f>
        <v>0</v>
      </c>
      <c r="M15" s="1">
        <f>L15*X15</f>
        <v>0</v>
      </c>
      <c r="N15" s="37"/>
      <c r="O15" s="37"/>
      <c r="P15" s="37"/>
      <c r="Q15" s="37"/>
      <c r="R15" s="37" t="s">
        <v>26</v>
      </c>
      <c r="S15" s="37"/>
      <c r="T15" s="37"/>
      <c r="V15" s="60" t="s">
        <v>259</v>
      </c>
      <c r="W15" s="55">
        <f>B15+D15+F15+H15+J15+L15</f>
        <v>93</v>
      </c>
      <c r="X15" s="55">
        <v>0.25</v>
      </c>
      <c r="Y15" s="57">
        <f>W15*X15</f>
        <v>23.25</v>
      </c>
      <c r="AA15" s="1">
        <v>1</v>
      </c>
      <c r="AC15" s="8"/>
      <c r="AD15" s="8"/>
    </row>
    <row r="16" spans="1:29" ht="12.75">
      <c r="A16" s="5">
        <v>42323</v>
      </c>
      <c r="C16" s="1">
        <f>B16*X16</f>
        <v>0</v>
      </c>
      <c r="D16" s="1">
        <f>27+26</f>
        <v>53</v>
      </c>
      <c r="E16" s="1">
        <f>D16*X16</f>
        <v>13.25</v>
      </c>
      <c r="G16" s="1">
        <f>F16*X16</f>
        <v>0</v>
      </c>
      <c r="I16" s="1">
        <f>H16*X16</f>
        <v>0</v>
      </c>
      <c r="K16" s="1">
        <f>J16*X16</f>
        <v>0</v>
      </c>
      <c r="M16" s="1">
        <f>L16*X16</f>
        <v>0</v>
      </c>
      <c r="N16" s="37"/>
      <c r="O16" s="37"/>
      <c r="P16" s="37"/>
      <c r="Q16" s="37"/>
      <c r="R16" s="37" t="s">
        <v>26</v>
      </c>
      <c r="S16" s="37"/>
      <c r="T16" s="37"/>
      <c r="V16" s="1" t="s">
        <v>259</v>
      </c>
      <c r="W16" s="55">
        <f>B16+D16+F16+H16+J16+L16</f>
        <v>53</v>
      </c>
      <c r="X16" s="55">
        <v>0.25</v>
      </c>
      <c r="Y16" s="57">
        <f>W16*X16</f>
        <v>13.25</v>
      </c>
      <c r="AA16" s="1">
        <v>1</v>
      </c>
      <c r="AC16" s="8"/>
    </row>
    <row r="17" spans="1:27" ht="12.75">
      <c r="A17" s="5">
        <v>42324</v>
      </c>
      <c r="B17" s="1">
        <f>56+60</f>
        <v>116</v>
      </c>
      <c r="C17" s="1">
        <f>B17*X17</f>
        <v>29</v>
      </c>
      <c r="E17" s="1">
        <f>D17*X17</f>
        <v>0</v>
      </c>
      <c r="G17" s="1">
        <f>F17*X17</f>
        <v>0</v>
      </c>
      <c r="I17" s="1">
        <f>H17*X17</f>
        <v>0</v>
      </c>
      <c r="K17" s="1">
        <f>J17*X17</f>
        <v>0</v>
      </c>
      <c r="M17" s="1">
        <f>L17*X17</f>
        <v>0</v>
      </c>
      <c r="N17" s="37"/>
      <c r="O17" s="37"/>
      <c r="P17" s="37"/>
      <c r="Q17" s="37"/>
      <c r="R17" s="37" t="s">
        <v>26</v>
      </c>
      <c r="S17" s="37"/>
      <c r="T17" s="37"/>
      <c r="V17" s="1" t="s">
        <v>260</v>
      </c>
      <c r="W17" s="55">
        <f>B17+D17+F17+H17+J17+L17</f>
        <v>116</v>
      </c>
      <c r="X17" s="55">
        <v>0.25</v>
      </c>
      <c r="Y17" s="57">
        <f>W17*X17</f>
        <v>29</v>
      </c>
      <c r="AA17" s="1">
        <v>1</v>
      </c>
    </row>
    <row r="18" spans="1:27" ht="12.75">
      <c r="A18" s="5">
        <v>42325</v>
      </c>
      <c r="C18" s="1">
        <f>B18*X18</f>
        <v>0</v>
      </c>
      <c r="D18" s="1">
        <v>102</v>
      </c>
      <c r="E18" s="1">
        <f>D18*X18</f>
        <v>25.5</v>
      </c>
      <c r="G18" s="1">
        <f>F18*X18</f>
        <v>0</v>
      </c>
      <c r="I18" s="1">
        <f>H18*X18</f>
        <v>0</v>
      </c>
      <c r="K18" s="1">
        <f>J18*X18</f>
        <v>0</v>
      </c>
      <c r="M18" s="1">
        <f>L18*X18</f>
        <v>0</v>
      </c>
      <c r="N18" s="37"/>
      <c r="O18" s="37"/>
      <c r="P18" s="37"/>
      <c r="Q18" s="37"/>
      <c r="R18" s="37" t="s">
        <v>26</v>
      </c>
      <c r="S18" s="37"/>
      <c r="T18" s="37"/>
      <c r="U18" s="1">
        <v>2</v>
      </c>
      <c r="V18" s="1" t="s">
        <v>261</v>
      </c>
      <c r="W18" s="55">
        <f>B18+D18+F18+H18+J18+L18</f>
        <v>102</v>
      </c>
      <c r="X18" s="55">
        <v>0.25</v>
      </c>
      <c r="Y18" s="57">
        <f>W18*X18</f>
        <v>25.5</v>
      </c>
      <c r="AA18" s="1">
        <v>1</v>
      </c>
    </row>
    <row r="19" spans="1:27" ht="12.75">
      <c r="A19" s="5">
        <v>42326</v>
      </c>
      <c r="B19" s="1">
        <v>354</v>
      </c>
      <c r="C19" s="1">
        <f>B19*X19</f>
        <v>88.5</v>
      </c>
      <c r="D19" s="1">
        <v>66</v>
      </c>
      <c r="E19" s="1">
        <f>D19*X19</f>
        <v>16.5</v>
      </c>
      <c r="G19" s="1">
        <f>F19*X19</f>
        <v>0</v>
      </c>
      <c r="I19" s="1">
        <f>H19*X19</f>
        <v>0</v>
      </c>
      <c r="K19" s="1">
        <f>J19*X19</f>
        <v>0</v>
      </c>
      <c r="L19" s="1">
        <v>500</v>
      </c>
      <c r="M19" s="1">
        <f>L19*X19</f>
        <v>125</v>
      </c>
      <c r="N19" s="37"/>
      <c r="O19" s="37" t="s">
        <v>26</v>
      </c>
      <c r="P19" s="37"/>
      <c r="Q19" s="37"/>
      <c r="R19" s="37"/>
      <c r="S19" s="37"/>
      <c r="T19" s="37"/>
      <c r="V19" s="1" t="s">
        <v>262</v>
      </c>
      <c r="W19" s="55">
        <f>B19+D19+F19+H19+J19+L19</f>
        <v>920</v>
      </c>
      <c r="X19" s="55">
        <v>0.25</v>
      </c>
      <c r="Y19" s="57">
        <f>W19*X19</f>
        <v>230</v>
      </c>
      <c r="AA19" s="1">
        <v>1</v>
      </c>
    </row>
    <row r="20" spans="1:27" ht="12.75">
      <c r="A20" s="5">
        <v>42327</v>
      </c>
      <c r="C20" s="1">
        <f>B20*X20</f>
        <v>0</v>
      </c>
      <c r="D20" s="1">
        <f>24+74</f>
        <v>98</v>
      </c>
      <c r="E20" s="1">
        <f>D20*X20</f>
        <v>24.5</v>
      </c>
      <c r="G20" s="1">
        <f>F20*X20</f>
        <v>0</v>
      </c>
      <c r="I20" s="1">
        <f>H20*X20</f>
        <v>0</v>
      </c>
      <c r="J20" s="1">
        <f>45+105</f>
        <v>150</v>
      </c>
      <c r="K20" s="1">
        <f>J20*X20</f>
        <v>37.5</v>
      </c>
      <c r="M20" s="1">
        <f>L20*X20</f>
        <v>0</v>
      </c>
      <c r="N20" s="37"/>
      <c r="O20" s="37" t="s">
        <v>26</v>
      </c>
      <c r="P20" s="37"/>
      <c r="Q20" s="37"/>
      <c r="R20" s="37"/>
      <c r="S20" s="37"/>
      <c r="T20" s="37"/>
      <c r="V20" s="1" t="s">
        <v>263</v>
      </c>
      <c r="W20" s="55">
        <f>B20+D20+F20+H20+J20+L20</f>
        <v>248</v>
      </c>
      <c r="X20" s="55">
        <v>0.25</v>
      </c>
      <c r="Y20" s="57">
        <f>W20*X20</f>
        <v>62</v>
      </c>
      <c r="AA20" s="1">
        <v>1</v>
      </c>
    </row>
    <row r="21" spans="1:27" ht="12.75">
      <c r="A21" s="5">
        <v>42328</v>
      </c>
      <c r="C21" s="1">
        <f>B21*X21</f>
        <v>0</v>
      </c>
      <c r="E21" s="1">
        <f>D21*X21</f>
        <v>0</v>
      </c>
      <c r="G21" s="1">
        <f>F21*X21</f>
        <v>0</v>
      </c>
      <c r="I21" s="1">
        <f>H21*X21</f>
        <v>0</v>
      </c>
      <c r="K21" s="1">
        <f>J21*X21</f>
        <v>0</v>
      </c>
      <c r="M21" s="1">
        <f>L21*X21</f>
        <v>0</v>
      </c>
      <c r="N21" s="37"/>
      <c r="O21" s="37"/>
      <c r="P21" s="37" t="s">
        <v>26</v>
      </c>
      <c r="Q21" s="37"/>
      <c r="R21" s="37"/>
      <c r="S21" s="37"/>
      <c r="T21" s="37"/>
      <c r="V21" s="1" t="s">
        <v>263</v>
      </c>
      <c r="W21" s="55">
        <f>B21+D21+F21+H21+J21+L21</f>
        <v>0</v>
      </c>
      <c r="X21" s="55">
        <v>0.25</v>
      </c>
      <c r="Y21" s="57">
        <f>W21*X21</f>
        <v>0</v>
      </c>
      <c r="AA21" s="1">
        <v>1</v>
      </c>
    </row>
    <row r="22" spans="1:27" ht="12.75">
      <c r="A22" s="5">
        <v>42329</v>
      </c>
      <c r="C22" s="1">
        <f>B22*X22</f>
        <v>0</v>
      </c>
      <c r="D22" s="1">
        <v>317</v>
      </c>
      <c r="E22" s="1">
        <f>D22*X22</f>
        <v>79.25</v>
      </c>
      <c r="G22" s="1">
        <f>F22*X22</f>
        <v>0</v>
      </c>
      <c r="I22" s="1">
        <f>H22*X22</f>
        <v>0</v>
      </c>
      <c r="K22" s="1">
        <f>J22*X22</f>
        <v>0</v>
      </c>
      <c r="M22" s="1">
        <f>L22*X22</f>
        <v>0</v>
      </c>
      <c r="N22" s="37"/>
      <c r="O22" s="37"/>
      <c r="P22" s="37" t="s">
        <v>26</v>
      </c>
      <c r="Q22" s="37"/>
      <c r="R22" s="37"/>
      <c r="S22" s="37"/>
      <c r="T22" s="37"/>
      <c r="V22" s="1" t="s">
        <v>263</v>
      </c>
      <c r="W22" s="55">
        <f>B22+D22+F22+H22+J22+L22</f>
        <v>317</v>
      </c>
      <c r="X22" s="55">
        <v>0.25</v>
      </c>
      <c r="Y22" s="57">
        <f>W22*X22</f>
        <v>79.25</v>
      </c>
      <c r="AA22" s="1">
        <v>1</v>
      </c>
    </row>
    <row r="23" spans="1:27" ht="12.75">
      <c r="A23" s="5">
        <v>42330</v>
      </c>
      <c r="C23" s="1">
        <f>B23*X23</f>
        <v>0</v>
      </c>
      <c r="D23" s="1">
        <v>154</v>
      </c>
      <c r="E23" s="1">
        <f>D23*X23</f>
        <v>38.5</v>
      </c>
      <c r="G23" s="1">
        <f>F23*X23</f>
        <v>0</v>
      </c>
      <c r="I23" s="1">
        <f>H23*X23</f>
        <v>0</v>
      </c>
      <c r="K23" s="1">
        <f>J23*X23</f>
        <v>0</v>
      </c>
      <c r="M23" s="1">
        <f>L23*X23</f>
        <v>0</v>
      </c>
      <c r="N23" s="37"/>
      <c r="O23" s="37"/>
      <c r="P23" s="37" t="s">
        <v>26</v>
      </c>
      <c r="Q23" s="37"/>
      <c r="R23" s="37"/>
      <c r="S23" s="37"/>
      <c r="T23" s="37"/>
      <c r="V23" s="1" t="s">
        <v>263</v>
      </c>
      <c r="W23" s="55">
        <f>B23+D23+F23+H23+J23+L23</f>
        <v>154</v>
      </c>
      <c r="X23" s="55">
        <v>0.25</v>
      </c>
      <c r="Y23" s="57">
        <f>W23*X23</f>
        <v>38.5</v>
      </c>
      <c r="AA23" s="1">
        <v>1</v>
      </c>
    </row>
    <row r="24" spans="1:27" ht="12.75">
      <c r="A24" s="5">
        <v>42331</v>
      </c>
      <c r="C24" s="1">
        <f>B24*X24</f>
        <v>0</v>
      </c>
      <c r="E24" s="1">
        <f>D24*X24</f>
        <v>0</v>
      </c>
      <c r="G24" s="1">
        <f>F24*X24</f>
        <v>0</v>
      </c>
      <c r="I24" s="1">
        <f>H24*X24</f>
        <v>0</v>
      </c>
      <c r="K24" s="1">
        <f>J24*X24</f>
        <v>0</v>
      </c>
      <c r="M24" s="1">
        <f>L24*X24</f>
        <v>0</v>
      </c>
      <c r="N24" s="37"/>
      <c r="O24" s="37"/>
      <c r="P24" s="37" t="s">
        <v>26</v>
      </c>
      <c r="Q24" s="37"/>
      <c r="R24" s="37"/>
      <c r="S24" s="37"/>
      <c r="T24" s="37"/>
      <c r="U24" s="1">
        <v>3</v>
      </c>
      <c r="V24" s="1" t="s">
        <v>263</v>
      </c>
      <c r="W24" s="55">
        <f>B24+D24+F24+H24+J24+L24</f>
        <v>0</v>
      </c>
      <c r="X24" s="55">
        <v>0.25</v>
      </c>
      <c r="Y24" s="57">
        <f>W24*X24</f>
        <v>0</v>
      </c>
      <c r="AA24" s="1">
        <v>1</v>
      </c>
    </row>
    <row r="25" spans="1:27" ht="12.75">
      <c r="A25" s="5">
        <v>42332</v>
      </c>
      <c r="C25" s="1">
        <f>B25*X25</f>
        <v>0</v>
      </c>
      <c r="D25" s="1">
        <v>90</v>
      </c>
      <c r="E25" s="1">
        <f>D25*X25</f>
        <v>22.5</v>
      </c>
      <c r="F25" s="1">
        <v>150</v>
      </c>
      <c r="G25" s="1">
        <f>F25*X25</f>
        <v>37.5</v>
      </c>
      <c r="I25" s="1">
        <f>H25*X25</f>
        <v>0</v>
      </c>
      <c r="K25" s="1">
        <f>J25*X25</f>
        <v>0</v>
      </c>
      <c r="M25" s="1">
        <f>L25*X25</f>
        <v>0</v>
      </c>
      <c r="N25" s="37"/>
      <c r="O25" s="37"/>
      <c r="P25" s="37" t="s">
        <v>26</v>
      </c>
      <c r="Q25" s="37"/>
      <c r="R25" s="37"/>
      <c r="S25" s="37"/>
      <c r="T25" s="37"/>
      <c r="V25" s="1" t="s">
        <v>263</v>
      </c>
      <c r="W25" s="55">
        <f>B25+D25+F25+H25+J25+L25</f>
        <v>240</v>
      </c>
      <c r="X25" s="55">
        <v>0.25</v>
      </c>
      <c r="Y25" s="57">
        <f>W25*X25</f>
        <v>60</v>
      </c>
      <c r="AA25" s="1">
        <v>1</v>
      </c>
    </row>
    <row r="26" spans="1:27" ht="12.75">
      <c r="A26" s="5">
        <v>42333</v>
      </c>
      <c r="D26" s="1">
        <v>108</v>
      </c>
      <c r="E26" s="1">
        <f>D26*X26</f>
        <v>27</v>
      </c>
      <c r="G26" s="1">
        <f>F26*X26</f>
        <v>0</v>
      </c>
      <c r="I26" s="1">
        <f>H26*X26</f>
        <v>0</v>
      </c>
      <c r="K26" s="1">
        <f>J26*X26</f>
        <v>0</v>
      </c>
      <c r="M26" s="1">
        <f>L26*X26</f>
        <v>0</v>
      </c>
      <c r="N26" s="37"/>
      <c r="O26" s="37"/>
      <c r="P26" s="37" t="s">
        <v>26</v>
      </c>
      <c r="Q26" s="37"/>
      <c r="R26" s="37"/>
      <c r="S26" s="37"/>
      <c r="T26" s="37"/>
      <c r="V26" s="1" t="s">
        <v>263</v>
      </c>
      <c r="W26" s="55">
        <f>B26+D26+F26+H26+J26+L26</f>
        <v>108</v>
      </c>
      <c r="X26" s="55">
        <v>0.25</v>
      </c>
      <c r="Y26" s="57">
        <f>W26*X26</f>
        <v>27</v>
      </c>
      <c r="AA26" s="1">
        <v>1</v>
      </c>
    </row>
    <row r="27" spans="1:27" ht="12.75">
      <c r="A27" s="5">
        <v>42334</v>
      </c>
      <c r="D27" s="1">
        <v>89</v>
      </c>
      <c r="E27" s="1">
        <f>D27*X27</f>
        <v>22.25</v>
      </c>
      <c r="G27" s="1">
        <f>F27*X27</f>
        <v>0</v>
      </c>
      <c r="I27" s="1">
        <f>H27*X27</f>
        <v>0</v>
      </c>
      <c r="K27" s="1">
        <f>J27*X27</f>
        <v>0</v>
      </c>
      <c r="M27" s="1">
        <f>L27*X27</f>
        <v>0</v>
      </c>
      <c r="N27" s="37"/>
      <c r="O27" s="37"/>
      <c r="P27" s="37" t="s">
        <v>26</v>
      </c>
      <c r="Q27" s="37"/>
      <c r="R27" s="37"/>
      <c r="S27" s="37"/>
      <c r="T27" s="37"/>
      <c r="V27" s="1" t="s">
        <v>263</v>
      </c>
      <c r="W27" s="55">
        <f>B27+D27+F27+H27+J27+L27</f>
        <v>89</v>
      </c>
      <c r="X27" s="55">
        <v>0.25</v>
      </c>
      <c r="Y27" s="57">
        <f>W27*X27</f>
        <v>22.25</v>
      </c>
      <c r="AA27" s="1">
        <v>1</v>
      </c>
    </row>
    <row r="28" spans="1:27" ht="12.75">
      <c r="A28" s="5">
        <v>42335</v>
      </c>
      <c r="E28" s="1">
        <f>D28*X28</f>
        <v>0</v>
      </c>
      <c r="G28" s="1">
        <f>F28*X28</f>
        <v>0</v>
      </c>
      <c r="I28" s="1">
        <f>H28*X28</f>
        <v>0</v>
      </c>
      <c r="K28" s="1">
        <f>J28*X28</f>
        <v>0</v>
      </c>
      <c r="M28" s="1">
        <f>L28*X28</f>
        <v>0</v>
      </c>
      <c r="N28" s="37"/>
      <c r="O28" s="37"/>
      <c r="P28" s="37" t="s">
        <v>26</v>
      </c>
      <c r="Q28" s="37"/>
      <c r="R28" s="37"/>
      <c r="S28" s="37"/>
      <c r="T28" s="37"/>
      <c r="V28" s="1" t="s">
        <v>263</v>
      </c>
      <c r="W28" s="55">
        <f>B28+D28+F28+H28+J28+L28</f>
        <v>0</v>
      </c>
      <c r="X28" s="55">
        <v>0.25</v>
      </c>
      <c r="Y28" s="57">
        <f>W28*X28</f>
        <v>0</v>
      </c>
      <c r="AA28" s="1">
        <v>1</v>
      </c>
    </row>
    <row r="29" spans="1:27" ht="12.75">
      <c r="A29" s="5">
        <v>42336</v>
      </c>
      <c r="D29" s="1">
        <f>47+60+20</f>
        <v>127</v>
      </c>
      <c r="E29" s="1">
        <f>D29*X29</f>
        <v>31.75</v>
      </c>
      <c r="G29" s="1">
        <f>F29*X29</f>
        <v>0</v>
      </c>
      <c r="I29" s="1">
        <f>H29*X29</f>
        <v>0</v>
      </c>
      <c r="K29" s="1">
        <f>J29*X29</f>
        <v>0</v>
      </c>
      <c r="M29" s="1">
        <f>L29*X29</f>
        <v>0</v>
      </c>
      <c r="N29" s="37"/>
      <c r="O29" s="37"/>
      <c r="P29" s="37" t="s">
        <v>26</v>
      </c>
      <c r="Q29" s="37"/>
      <c r="R29" s="37"/>
      <c r="S29" s="37"/>
      <c r="T29" s="37"/>
      <c r="V29" s="1" t="s">
        <v>263</v>
      </c>
      <c r="W29" s="55">
        <f>B29+D29+F29+H29+J29+L29</f>
        <v>127</v>
      </c>
      <c r="X29" s="55">
        <v>0.25</v>
      </c>
      <c r="Y29" s="57">
        <f>W29*X29</f>
        <v>31.75</v>
      </c>
      <c r="AA29" s="1">
        <v>1</v>
      </c>
    </row>
    <row r="30" spans="1:27" ht="12.75">
      <c r="A30" s="5">
        <v>42337</v>
      </c>
      <c r="D30" s="1">
        <v>60</v>
      </c>
      <c r="E30" s="1">
        <f>D30*X30</f>
        <v>15</v>
      </c>
      <c r="G30" s="1">
        <f>F30*X30</f>
        <v>0</v>
      </c>
      <c r="I30" s="1">
        <f>H30*X30</f>
        <v>0</v>
      </c>
      <c r="K30" s="1">
        <f>J30*X30</f>
        <v>0</v>
      </c>
      <c r="M30" s="1">
        <f>L30*X30</f>
        <v>0</v>
      </c>
      <c r="N30" s="37"/>
      <c r="O30" s="37"/>
      <c r="P30" s="37" t="s">
        <v>26</v>
      </c>
      <c r="Q30" s="37"/>
      <c r="R30" s="37"/>
      <c r="S30" s="37"/>
      <c r="T30" s="37"/>
      <c r="V30" s="1" t="s">
        <v>263</v>
      </c>
      <c r="W30" s="55">
        <f>B30+D30+F30+H30+J30+L30</f>
        <v>60</v>
      </c>
      <c r="X30" s="55">
        <v>0.25</v>
      </c>
      <c r="Y30" s="57">
        <f>W30*X30</f>
        <v>15</v>
      </c>
      <c r="AA30" s="1">
        <v>1</v>
      </c>
    </row>
    <row r="31" spans="1:27" ht="12.75">
      <c r="A31" s="5">
        <v>42338</v>
      </c>
      <c r="E31" s="1">
        <f>D31*X31</f>
        <v>0</v>
      </c>
      <c r="G31" s="1">
        <f>F31*X31</f>
        <v>0</v>
      </c>
      <c r="I31" s="1">
        <f>H31*X31</f>
        <v>0</v>
      </c>
      <c r="K31" s="1">
        <f>J31*X31</f>
        <v>0</v>
      </c>
      <c r="M31" s="1">
        <f>L31*X31</f>
        <v>0</v>
      </c>
      <c r="N31" s="37"/>
      <c r="O31" s="37"/>
      <c r="P31" s="37" t="s">
        <v>26</v>
      </c>
      <c r="Q31" s="37"/>
      <c r="R31" s="37"/>
      <c r="S31" s="37"/>
      <c r="T31" s="37"/>
      <c r="V31" s="1" t="s">
        <v>263</v>
      </c>
      <c r="W31" s="55">
        <f>B31+D31+F31+H31+J31+L31</f>
        <v>0</v>
      </c>
      <c r="X31" s="55">
        <v>0.25</v>
      </c>
      <c r="Y31" s="57">
        <f>W31*X31</f>
        <v>0</v>
      </c>
      <c r="AA31" s="1">
        <v>1</v>
      </c>
    </row>
    <row r="32" spans="1:25" ht="12.75">
      <c r="A32" s="3"/>
      <c r="G32" s="1">
        <f>F32*X32</f>
        <v>0</v>
      </c>
      <c r="I32" s="1">
        <f>H32*X32</f>
        <v>0</v>
      </c>
      <c r="K32" s="1">
        <f>J32*X32</f>
        <v>0</v>
      </c>
      <c r="M32" s="1">
        <f>L32*X32</f>
        <v>0</v>
      </c>
      <c r="W32" s="1">
        <f>B32+D32+F32+H32+J32+L32</f>
        <v>0</v>
      </c>
      <c r="Y32" s="2">
        <f>W32*X32</f>
        <v>0</v>
      </c>
    </row>
    <row r="33" spans="3:25" ht="12.75">
      <c r="C33" s="1">
        <f>B33*X33</f>
        <v>0</v>
      </c>
      <c r="E33" s="1">
        <f>D33*X33</f>
        <v>0</v>
      </c>
      <c r="G33" s="1">
        <f>F33*X33</f>
        <v>0</v>
      </c>
      <c r="I33" s="1">
        <f>H33*X33</f>
        <v>0</v>
      </c>
      <c r="K33" s="1">
        <f>J33*X33</f>
        <v>0</v>
      </c>
      <c r="M33" s="1">
        <f>L33*X33</f>
        <v>0</v>
      </c>
      <c r="W33" s="1">
        <f>B33+D33+F33+H33+J33+L33</f>
        <v>0</v>
      </c>
      <c r="Y33" s="2">
        <f>W33*X33</f>
        <v>0</v>
      </c>
    </row>
    <row r="34" spans="3:25" ht="12.75">
      <c r="C34" s="1">
        <f>B34*X34</f>
        <v>0</v>
      </c>
      <c r="E34" s="1">
        <f>D34*X34</f>
        <v>0</v>
      </c>
      <c r="G34" s="1">
        <f>F34*X34</f>
        <v>0</v>
      </c>
      <c r="I34" s="1">
        <f>H34*X34</f>
        <v>0</v>
      </c>
      <c r="K34" s="1">
        <f>J34*X34</f>
        <v>0</v>
      </c>
      <c r="M34" s="1">
        <f>L34*X34</f>
        <v>0</v>
      </c>
      <c r="W34" s="1">
        <f>B34+D34+F34+H34+J34+L34</f>
        <v>0</v>
      </c>
      <c r="Y34" s="2">
        <f>W34*X34</f>
        <v>0</v>
      </c>
    </row>
    <row r="35" spans="3:25" ht="12.75">
      <c r="C35" s="1">
        <f>B35*X35</f>
        <v>0</v>
      </c>
      <c r="E35" s="1">
        <f>D35*X35</f>
        <v>0</v>
      </c>
      <c r="G35" s="1">
        <f>F35*X35</f>
        <v>0</v>
      </c>
      <c r="I35" s="1">
        <f>H35*X35</f>
        <v>0</v>
      </c>
      <c r="K35" s="1">
        <f>J35*X35</f>
        <v>0</v>
      </c>
      <c r="M35" s="1">
        <f>L35*X35</f>
        <v>0</v>
      </c>
      <c r="W35" s="1">
        <f>B35+D35+F35+H35+J35+L35</f>
        <v>0</v>
      </c>
      <c r="Y35" s="2">
        <f>W35*X35</f>
        <v>0</v>
      </c>
    </row>
    <row r="36" spans="3:25" ht="12.75">
      <c r="C36" s="1">
        <f>B36*X36</f>
        <v>0</v>
      </c>
      <c r="E36" s="1">
        <f>D36*X36</f>
        <v>0</v>
      </c>
      <c r="G36" s="1">
        <f>F36*X36</f>
        <v>0</v>
      </c>
      <c r="I36" s="1">
        <f>H36*X36</f>
        <v>0</v>
      </c>
      <c r="K36" s="1">
        <f>J36*X36</f>
        <v>0</v>
      </c>
      <c r="M36" s="1">
        <f>L36*X36</f>
        <v>0</v>
      </c>
      <c r="W36" s="1">
        <f>B36+D36+F36+H36+J36+L36</f>
        <v>0</v>
      </c>
      <c r="Y36" s="2">
        <f>W36*X36</f>
        <v>0</v>
      </c>
    </row>
    <row r="37" spans="3:25" ht="12.75">
      <c r="C37" s="1">
        <f>B37*X37</f>
        <v>0</v>
      </c>
      <c r="E37" s="1">
        <f>D37*X37</f>
        <v>0</v>
      </c>
      <c r="G37" s="1">
        <f>F37*X37</f>
        <v>0</v>
      </c>
      <c r="I37" s="1">
        <f>H37*X37</f>
        <v>0</v>
      </c>
      <c r="K37" s="1">
        <f>J37*X37</f>
        <v>0</v>
      </c>
      <c r="M37" s="1">
        <f>L37*X37</f>
        <v>0</v>
      </c>
      <c r="W37" s="1">
        <f>B37+D37+F37+H37+J37+L37</f>
        <v>0</v>
      </c>
      <c r="Y37" s="2">
        <f>W37*X37</f>
        <v>0</v>
      </c>
    </row>
    <row r="38" spans="3:25" ht="12.75">
      <c r="C38" s="1">
        <f>B38*X38</f>
        <v>0</v>
      </c>
      <c r="E38" s="1">
        <f>D38*X38</f>
        <v>0</v>
      </c>
      <c r="G38" s="1">
        <f>F38*X38</f>
        <v>0</v>
      </c>
      <c r="I38" s="1">
        <f>H38*X38</f>
        <v>0</v>
      </c>
      <c r="K38" s="1">
        <f>J38*X38</f>
        <v>0</v>
      </c>
      <c r="M38" s="1">
        <f>L38*X38</f>
        <v>0</v>
      </c>
      <c r="W38" s="1">
        <f>B38+D38+F38+H38+J38+L38</f>
        <v>0</v>
      </c>
      <c r="Y38" s="2">
        <f>W38*X38</f>
        <v>0</v>
      </c>
    </row>
    <row r="39" spans="3:25" ht="12.75">
      <c r="C39" s="1">
        <f>B39*X39</f>
        <v>0</v>
      </c>
      <c r="E39" s="1">
        <f>D39*X39</f>
        <v>0</v>
      </c>
      <c r="G39" s="1">
        <f>F39*X39</f>
        <v>0</v>
      </c>
      <c r="I39" s="1">
        <f>H39*X39</f>
        <v>0</v>
      </c>
      <c r="K39" s="1">
        <f>J39*X39</f>
        <v>0</v>
      </c>
      <c r="M39" s="1">
        <f>L39*X39</f>
        <v>0</v>
      </c>
      <c r="W39" s="1">
        <f>B39+D39+F39+H39+J39+L39</f>
        <v>0</v>
      </c>
      <c r="Y39" s="2">
        <f>W39*X39</f>
        <v>0</v>
      </c>
    </row>
    <row r="40" spans="3:25" ht="12.75">
      <c r="C40" s="1">
        <f>B40*X40</f>
        <v>0</v>
      </c>
      <c r="E40" s="1">
        <f>D40*X40</f>
        <v>0</v>
      </c>
      <c r="G40" s="1">
        <f>F40*X40</f>
        <v>0</v>
      </c>
      <c r="I40" s="1">
        <f>H40*X40</f>
        <v>0</v>
      </c>
      <c r="K40" s="1">
        <f>J40*X40</f>
        <v>0</v>
      </c>
      <c r="W40" s="1">
        <f>B40+D40+F40+H40+J40+L40</f>
        <v>0</v>
      </c>
      <c r="Y40" s="2">
        <f>W40*X40</f>
        <v>0</v>
      </c>
    </row>
    <row r="41" spans="3:25" ht="12.75">
      <c r="C41" s="1">
        <f>B41*X41</f>
        <v>0</v>
      </c>
      <c r="E41" s="1">
        <f>D41*X41</f>
        <v>0</v>
      </c>
      <c r="G41" s="1">
        <f>F41*X41</f>
        <v>0</v>
      </c>
      <c r="I41" s="1">
        <f>H41*X41</f>
        <v>0</v>
      </c>
      <c r="K41" s="1">
        <f>J41*X41</f>
        <v>0</v>
      </c>
      <c r="W41" s="1">
        <f>B41+D41+F41+H41+J41+L41</f>
        <v>0</v>
      </c>
      <c r="Y41" s="2">
        <f>W41*X41</f>
        <v>0</v>
      </c>
    </row>
    <row r="42" spans="3:25" ht="12.75">
      <c r="C42" s="1">
        <f>B42*X42</f>
        <v>0</v>
      </c>
      <c r="E42" s="1">
        <f>D42*X42</f>
        <v>0</v>
      </c>
      <c r="G42" s="1">
        <f>F42*X42</f>
        <v>0</v>
      </c>
      <c r="I42" s="1">
        <f>H42*X42</f>
        <v>0</v>
      </c>
      <c r="K42" s="1">
        <f>J42*X42</f>
        <v>0</v>
      </c>
      <c r="W42" s="1">
        <f>B42+D42+F42+H42+J42+L42</f>
        <v>0</v>
      </c>
      <c r="Y42" s="2">
        <f>W42*X42</f>
        <v>0</v>
      </c>
    </row>
    <row r="43" spans="3:25" ht="12.75">
      <c r="C43" s="1">
        <f>B43*X43</f>
        <v>0</v>
      </c>
      <c r="E43" s="1">
        <f>D43*X43</f>
        <v>0</v>
      </c>
      <c r="G43" s="1">
        <f>F43*X43</f>
        <v>0</v>
      </c>
      <c r="I43" s="1">
        <f>H43*X43</f>
        <v>0</v>
      </c>
      <c r="K43" s="1">
        <f>J43*X43</f>
        <v>0</v>
      </c>
      <c r="W43" s="1">
        <f>B43+D43+F43+H43+J43+L43</f>
        <v>0</v>
      </c>
      <c r="Y43" s="2">
        <f>W43*X43</f>
        <v>0</v>
      </c>
    </row>
    <row r="44" spans="3:25" ht="12.75">
      <c r="C44" s="1">
        <f>B44*X44</f>
        <v>0</v>
      </c>
      <c r="E44" s="1">
        <f>D44*X44</f>
        <v>0</v>
      </c>
      <c r="G44" s="1">
        <f>F44*X44</f>
        <v>0</v>
      </c>
      <c r="I44" s="1">
        <f>H44*X44</f>
        <v>0</v>
      </c>
      <c r="K44" s="1">
        <f>J44*X44</f>
        <v>0</v>
      </c>
      <c r="W44" s="1">
        <f>B44+D44+F44+H44+J44+L44</f>
        <v>0</v>
      </c>
      <c r="Y44" s="2">
        <f>W44*X44</f>
        <v>0</v>
      </c>
    </row>
    <row r="45" spans="3:25" ht="12.75">
      <c r="C45" s="1">
        <f>B45*X45</f>
        <v>0</v>
      </c>
      <c r="E45" s="1">
        <f>D45*X45</f>
        <v>0</v>
      </c>
      <c r="G45" s="1">
        <f>F45*X45</f>
        <v>0</v>
      </c>
      <c r="I45" s="1">
        <f>H45*X45</f>
        <v>0</v>
      </c>
      <c r="K45" s="1">
        <f>J45*X45</f>
        <v>0</v>
      </c>
      <c r="W45" s="1">
        <f>B45+D45+F45+H45+J45+L45</f>
        <v>0</v>
      </c>
      <c r="Y45" s="2">
        <f>W45*X45</f>
        <v>0</v>
      </c>
    </row>
    <row r="46" spans="3:25" ht="12.75">
      <c r="C46" s="1">
        <f>B46*X46</f>
        <v>0</v>
      </c>
      <c r="E46" s="1">
        <f>D46*X46</f>
        <v>0</v>
      </c>
      <c r="G46" s="1">
        <f>F46*X46</f>
        <v>0</v>
      </c>
      <c r="I46" s="1">
        <f>H46*X46</f>
        <v>0</v>
      </c>
      <c r="K46" s="1">
        <f>J46*X46</f>
        <v>0</v>
      </c>
      <c r="W46" s="1">
        <f>B46+D46+F46+H46+J46+L46</f>
        <v>0</v>
      </c>
      <c r="Y46" s="2">
        <f>W46*X46</f>
        <v>0</v>
      </c>
    </row>
    <row r="47" spans="3:25" ht="12.75">
      <c r="C47" s="1">
        <f>B47*X47</f>
        <v>0</v>
      </c>
      <c r="E47" s="1">
        <f>D47*X47</f>
        <v>0</v>
      </c>
      <c r="G47" s="1">
        <f>F47*X47</f>
        <v>0</v>
      </c>
      <c r="I47" s="1">
        <f>H47*X47</f>
        <v>0</v>
      </c>
      <c r="K47" s="1">
        <f>J47*X47</f>
        <v>0</v>
      </c>
      <c r="W47" s="1">
        <f>B47+D47+F47+H47+J47+L47</f>
        <v>0</v>
      </c>
      <c r="Y47" s="2">
        <f>W47*X47</f>
        <v>0</v>
      </c>
    </row>
    <row r="48" spans="3:25" ht="12.75">
      <c r="C48" s="1">
        <f>B48*X48</f>
        <v>0</v>
      </c>
      <c r="E48" s="1">
        <f>D48*X48</f>
        <v>0</v>
      </c>
      <c r="G48" s="1">
        <f>F48*X48</f>
        <v>0</v>
      </c>
      <c r="I48" s="1">
        <f>H48*X48</f>
        <v>0</v>
      </c>
      <c r="K48" s="1">
        <f>J48*X48</f>
        <v>0</v>
      </c>
      <c r="W48" s="1">
        <f>B48+D48+F48+H48+J48+L48</f>
        <v>0</v>
      </c>
      <c r="Y48" s="2">
        <f>W48*X48</f>
        <v>0</v>
      </c>
    </row>
    <row r="49" spans="3:25" ht="12.75">
      <c r="C49" s="1">
        <f>B49*X49</f>
        <v>0</v>
      </c>
      <c r="E49" s="1">
        <f>D49*X49</f>
        <v>0</v>
      </c>
      <c r="G49" s="1">
        <f>F49*X49</f>
        <v>0</v>
      </c>
      <c r="I49" s="1">
        <f>H49*X49</f>
        <v>0</v>
      </c>
      <c r="K49" s="1">
        <f>J49*X49</f>
        <v>0</v>
      </c>
      <c r="W49" s="1">
        <f>B49+D49+F49+H49+J49+L49</f>
        <v>0</v>
      </c>
      <c r="Y49" s="2">
        <f>W49*X49</f>
        <v>0</v>
      </c>
    </row>
    <row r="50" spans="3:25" ht="12.75">
      <c r="C50" s="1">
        <f>B50*X50</f>
        <v>0</v>
      </c>
      <c r="E50" s="1">
        <f>D50*X50</f>
        <v>0</v>
      </c>
      <c r="G50" s="1">
        <f>F50*X50</f>
        <v>0</v>
      </c>
      <c r="I50" s="1">
        <f>H50*X50</f>
        <v>0</v>
      </c>
      <c r="K50" s="1">
        <f>J50*X50</f>
        <v>0</v>
      </c>
      <c r="W50" s="1">
        <f>B50+D50+F50+H50+J50+L50</f>
        <v>0</v>
      </c>
      <c r="Y50" s="2">
        <f>W50*X50</f>
        <v>0</v>
      </c>
    </row>
    <row r="51" spans="3:25" ht="12.75">
      <c r="C51" s="1">
        <f>B51*X51</f>
        <v>0</v>
      </c>
      <c r="E51" s="1">
        <f>D51*X51</f>
        <v>0</v>
      </c>
      <c r="G51" s="1">
        <f>F51*X51</f>
        <v>0</v>
      </c>
      <c r="I51" s="1">
        <f>H51*X51</f>
        <v>0</v>
      </c>
      <c r="K51" s="1">
        <f>J51*X51</f>
        <v>0</v>
      </c>
      <c r="W51" s="1">
        <f>B51+D51+F51+H51+J51+L51</f>
        <v>0</v>
      </c>
      <c r="Y51" s="2">
        <f>W51*X51</f>
        <v>0</v>
      </c>
    </row>
    <row r="52" spans="3:25" ht="12.75">
      <c r="C52" s="1">
        <f>B52*X52</f>
        <v>0</v>
      </c>
      <c r="E52" s="1">
        <f>D52*X52</f>
        <v>0</v>
      </c>
      <c r="G52" s="1">
        <f>F52*X52</f>
        <v>0</v>
      </c>
      <c r="I52" s="1">
        <f>H52*X52</f>
        <v>0</v>
      </c>
      <c r="K52" s="1">
        <f>J52*X52</f>
        <v>0</v>
      </c>
      <c r="W52" s="1">
        <f>B52+D52+F52+H52+J52+L52</f>
        <v>0</v>
      </c>
      <c r="Y52" s="2">
        <f>W52*X52</f>
        <v>0</v>
      </c>
    </row>
    <row r="53" spans="3:25" ht="12.75">
      <c r="C53" s="1">
        <f>B53*X53</f>
        <v>0</v>
      </c>
      <c r="E53" s="1">
        <f>D53*X53</f>
        <v>0</v>
      </c>
      <c r="G53" s="1">
        <f>F53*X53</f>
        <v>0</v>
      </c>
      <c r="I53" s="1">
        <f>H53*X53</f>
        <v>0</v>
      </c>
      <c r="K53" s="1">
        <f>J53*X53</f>
        <v>0</v>
      </c>
      <c r="W53" s="1">
        <f>B53+D53+F53+H53+J53+L53</f>
        <v>0</v>
      </c>
      <c r="Y53" s="2">
        <f>W53*X53</f>
        <v>0</v>
      </c>
    </row>
    <row r="54" spans="3:25" ht="12.75">
      <c r="C54" s="1">
        <f>B54*X54</f>
        <v>0</v>
      </c>
      <c r="E54" s="1">
        <f>D54*X54</f>
        <v>0</v>
      </c>
      <c r="G54" s="1">
        <f>F54*X54</f>
        <v>0</v>
      </c>
      <c r="I54" s="1">
        <f>H54*X54</f>
        <v>0</v>
      </c>
      <c r="K54" s="1">
        <f>J54*X54</f>
        <v>0</v>
      </c>
      <c r="W54" s="1">
        <f>B54+D54+F54+H54+J54+L54</f>
        <v>0</v>
      </c>
      <c r="Y54" s="2">
        <f>W54*X54</f>
        <v>0</v>
      </c>
    </row>
    <row r="55" spans="3:25" ht="12.75">
      <c r="C55" s="1">
        <f>B55*X55</f>
        <v>0</v>
      </c>
      <c r="E55" s="1">
        <f>D55*X55</f>
        <v>0</v>
      </c>
      <c r="G55" s="1">
        <f>F55*X55</f>
        <v>0</v>
      </c>
      <c r="I55" s="1">
        <f>H55*X55</f>
        <v>0</v>
      </c>
      <c r="K55" s="1">
        <f>J55*X55</f>
        <v>0</v>
      </c>
      <c r="W55" s="1">
        <f>B55+D55+F55+H55+J55+L55</f>
        <v>0</v>
      </c>
      <c r="Y55" s="2">
        <f>W55*X55</f>
        <v>0</v>
      </c>
    </row>
    <row r="56" spans="3:25" ht="12.75">
      <c r="C56" s="1">
        <f>B56*X56</f>
        <v>0</v>
      </c>
      <c r="E56" s="1">
        <f>D56*X56</f>
        <v>0</v>
      </c>
      <c r="G56" s="1">
        <f>F56*X56</f>
        <v>0</v>
      </c>
      <c r="I56" s="1">
        <f>H56*X56</f>
        <v>0</v>
      </c>
      <c r="K56" s="1">
        <f>J56*X56</f>
        <v>0</v>
      </c>
      <c r="W56" s="1">
        <f>B56+D56+F56+H56+J56+L56</f>
        <v>0</v>
      </c>
      <c r="Y56" s="2">
        <f>W56*X56</f>
        <v>0</v>
      </c>
    </row>
    <row r="57" spans="3:25" ht="12.75">
      <c r="C57" s="1">
        <f>B57*X57</f>
        <v>0</v>
      </c>
      <c r="E57" s="1">
        <f>D57*X57</f>
        <v>0</v>
      </c>
      <c r="G57" s="1">
        <f>F57*X57</f>
        <v>0</v>
      </c>
      <c r="I57" s="1">
        <f>H57*X57</f>
        <v>0</v>
      </c>
      <c r="K57" s="1">
        <f>J57*X57</f>
        <v>0</v>
      </c>
      <c r="W57" s="1">
        <f>B57+D57+F57+H57+J57+L57</f>
        <v>0</v>
      </c>
      <c r="Y57" s="2">
        <f>W57*X57</f>
        <v>0</v>
      </c>
    </row>
    <row r="58" spans="3:25" ht="12.75">
      <c r="C58" s="1">
        <f>B58*X58</f>
        <v>0</v>
      </c>
      <c r="E58" s="1">
        <f>D58*X58</f>
        <v>0</v>
      </c>
      <c r="G58" s="1">
        <f>F58*X58</f>
        <v>0</v>
      </c>
      <c r="I58" s="1">
        <f>H58*X58</f>
        <v>0</v>
      </c>
      <c r="K58" s="1">
        <f>J58*X58</f>
        <v>0</v>
      </c>
      <c r="W58" s="1">
        <f>B58+D58+F58+H58+J58+L58</f>
        <v>0</v>
      </c>
      <c r="Y58" s="2">
        <f>W58*X58</f>
        <v>0</v>
      </c>
    </row>
    <row r="59" spans="3:23" ht="12.75">
      <c r="C59" s="1">
        <f>B59*X59</f>
        <v>0</v>
      </c>
      <c r="E59" s="1">
        <f>D59*X59</f>
        <v>0</v>
      </c>
      <c r="G59" s="1">
        <f>F59*X59</f>
        <v>0</v>
      </c>
      <c r="I59" s="1">
        <f>H59*X59</f>
        <v>0</v>
      </c>
      <c r="K59" s="1">
        <f>J59*X59</f>
        <v>0</v>
      </c>
      <c r="W59" s="1">
        <f>B59+D59+F59+H59+J59+L59</f>
        <v>0</v>
      </c>
    </row>
    <row r="60" spans="3:23" ht="12.75">
      <c r="C60" s="1">
        <f>B60*X60</f>
        <v>0</v>
      </c>
      <c r="E60" s="1">
        <f>D60*X60</f>
        <v>0</v>
      </c>
      <c r="G60" s="1">
        <f>F60*X60</f>
        <v>0</v>
      </c>
      <c r="I60" s="1">
        <f>H60*X60</f>
        <v>0</v>
      </c>
      <c r="K60" s="1">
        <f>J60*X60</f>
        <v>0</v>
      </c>
      <c r="W60" s="1">
        <f>B60+D60+F60+H60+J60+L60</f>
        <v>0</v>
      </c>
    </row>
    <row r="61" spans="3:23" ht="12.75">
      <c r="C61" s="1">
        <f>B61*X61</f>
        <v>0</v>
      </c>
      <c r="E61" s="1">
        <f>D61*X61</f>
        <v>0</v>
      </c>
      <c r="G61" s="1">
        <f>F61*X61</f>
        <v>0</v>
      </c>
      <c r="I61" s="1">
        <f>H61*X61</f>
        <v>0</v>
      </c>
      <c r="K61" s="1">
        <f>J61*X61</f>
        <v>0</v>
      </c>
      <c r="W61" s="1">
        <f>B61+D61+F61+H61+J61+L61</f>
        <v>0</v>
      </c>
    </row>
    <row r="62" spans="3:23" ht="12.75">
      <c r="C62" s="1">
        <f>B62*X62</f>
        <v>0</v>
      </c>
      <c r="E62" s="1">
        <f>D62*X62</f>
        <v>0</v>
      </c>
      <c r="G62" s="1">
        <f>F62*X62</f>
        <v>0</v>
      </c>
      <c r="I62" s="1">
        <f>H62*X62</f>
        <v>0</v>
      </c>
      <c r="K62" s="1">
        <f>J62*X62</f>
        <v>0</v>
      </c>
      <c r="W62" s="1">
        <f>B62+D62+F62+H62+J62+L62</f>
        <v>0</v>
      </c>
    </row>
    <row r="63" spans="3:23" ht="12.75">
      <c r="C63" s="1">
        <f>B63*X63</f>
        <v>0</v>
      </c>
      <c r="E63" s="1">
        <f>D63*X63</f>
        <v>0</v>
      </c>
      <c r="G63" s="1">
        <f>F63*X63</f>
        <v>0</v>
      </c>
      <c r="I63" s="1">
        <f>H63*X63</f>
        <v>0</v>
      </c>
      <c r="K63" s="1">
        <f>J63*X63</f>
        <v>0</v>
      </c>
      <c r="W63" s="1">
        <f>B63+D63+F63+H63+J63+L63</f>
        <v>0</v>
      </c>
    </row>
    <row r="64" spans="3:23" ht="12.75">
      <c r="C64" s="1">
        <f>B64*X64</f>
        <v>0</v>
      </c>
      <c r="E64" s="1">
        <f>D64*X64</f>
        <v>0</v>
      </c>
      <c r="G64" s="1">
        <f>F64*X64</f>
        <v>0</v>
      </c>
      <c r="I64" s="1">
        <f>H64*X64</f>
        <v>0</v>
      </c>
      <c r="K64" s="1">
        <f>J64*X64</f>
        <v>0</v>
      </c>
      <c r="W64" s="1">
        <f>B64+D64+F64+H64+J64+L64</f>
        <v>0</v>
      </c>
    </row>
    <row r="65" spans="3:23" ht="12.75">
      <c r="C65" s="1">
        <f>B65*X65</f>
        <v>0</v>
      </c>
      <c r="E65" s="1">
        <f>D65*X65</f>
        <v>0</v>
      </c>
      <c r="G65" s="1">
        <f>F65*X65</f>
        <v>0</v>
      </c>
      <c r="I65" s="1">
        <f>H65*X65</f>
        <v>0</v>
      </c>
      <c r="K65" s="1">
        <f>J65*X65</f>
        <v>0</v>
      </c>
      <c r="W65" s="1">
        <f>B65+D65+F65+H65+J65+L65</f>
        <v>0</v>
      </c>
    </row>
    <row r="66" spans="3:23" ht="12.75">
      <c r="C66" s="1">
        <f>B66*X66</f>
        <v>0</v>
      </c>
      <c r="E66" s="1">
        <f>D66*X66</f>
        <v>0</v>
      </c>
      <c r="G66" s="1">
        <f>F66*X66</f>
        <v>0</v>
      </c>
      <c r="I66" s="1">
        <f>H66*X66</f>
        <v>0</v>
      </c>
      <c r="K66" s="1">
        <f>J66*X66</f>
        <v>0</v>
      </c>
      <c r="W66" s="1">
        <f>B66+D66+F66+H66+J66+L66</f>
        <v>0</v>
      </c>
    </row>
    <row r="67" spans="3:23" ht="12.75">
      <c r="C67" s="1">
        <f>B67*X67</f>
        <v>0</v>
      </c>
      <c r="E67" s="1">
        <f>D67*X67</f>
        <v>0</v>
      </c>
      <c r="G67" s="1">
        <f>F67*X67</f>
        <v>0</v>
      </c>
      <c r="I67" s="1">
        <f>H67*X67</f>
        <v>0</v>
      </c>
      <c r="K67" s="1">
        <f>J67*X67</f>
        <v>0</v>
      </c>
      <c r="W67" s="1">
        <f>B67+D67+F67+H67+J67+L67</f>
        <v>0</v>
      </c>
    </row>
    <row r="68" spans="3:23" ht="12.75">
      <c r="C68" s="1">
        <f>B68*X68</f>
        <v>0</v>
      </c>
      <c r="E68" s="1">
        <f>D68*X68</f>
        <v>0</v>
      </c>
      <c r="G68" s="1">
        <f>F68*X68</f>
        <v>0</v>
      </c>
      <c r="I68" s="1">
        <f>H68*X68</f>
        <v>0</v>
      </c>
      <c r="K68" s="1">
        <f>J68*X68</f>
        <v>0</v>
      </c>
      <c r="W68" s="1">
        <f>B68+D68+F68+H68+J68+L68</f>
        <v>0</v>
      </c>
    </row>
    <row r="69" spans="3:23" ht="12.75">
      <c r="C69" s="1">
        <f>B69*X69</f>
        <v>0</v>
      </c>
      <c r="E69" s="1">
        <f>D69*X69</f>
        <v>0</v>
      </c>
      <c r="G69" s="1">
        <f>F69*X69</f>
        <v>0</v>
      </c>
      <c r="I69" s="1">
        <f>H69*X69</f>
        <v>0</v>
      </c>
      <c r="K69" s="1">
        <f>J69*X69</f>
        <v>0</v>
      </c>
      <c r="W69" s="1">
        <f>B69+D69+F69+H69+J69+L69</f>
        <v>0</v>
      </c>
    </row>
    <row r="70" spans="3:23" ht="12.75">
      <c r="C70" s="1">
        <f>B70*X70</f>
        <v>0</v>
      </c>
      <c r="E70" s="1">
        <f>D70*X70</f>
        <v>0</v>
      </c>
      <c r="G70" s="1">
        <f>F70*X70</f>
        <v>0</v>
      </c>
      <c r="K70" s="1">
        <f>J70*X70</f>
        <v>0</v>
      </c>
      <c r="W70" s="1">
        <f>B70+D70+F70+H70+J70+L70</f>
        <v>0</v>
      </c>
    </row>
    <row r="71" spans="3:23" ht="12.75">
      <c r="C71" s="1">
        <f>B71*X71</f>
        <v>0</v>
      </c>
      <c r="E71" s="1">
        <f>D71*X71</f>
        <v>0</v>
      </c>
      <c r="G71" s="1">
        <f>F71*X71</f>
        <v>0</v>
      </c>
      <c r="K71" s="1">
        <f>J71*X71</f>
        <v>0</v>
      </c>
      <c r="W71" s="1">
        <f>B71+D71+F71+H71+J71+L71</f>
        <v>0</v>
      </c>
    </row>
    <row r="72" spans="3:23" ht="12.75">
      <c r="C72" s="1">
        <f>B72*X72</f>
        <v>0</v>
      </c>
      <c r="E72" s="1">
        <f>D72*X72</f>
        <v>0</v>
      </c>
      <c r="G72" s="1">
        <f>F72*X72</f>
        <v>0</v>
      </c>
      <c r="K72" s="1">
        <f>J72*X72</f>
        <v>0</v>
      </c>
      <c r="W72" s="1">
        <f>B72+D72+F72+H72+J72+L72</f>
        <v>0</v>
      </c>
    </row>
    <row r="73" spans="3:23" ht="12.75">
      <c r="C73" s="1">
        <f>B73*X73</f>
        <v>0</v>
      </c>
      <c r="E73" s="1">
        <f>D73*X73</f>
        <v>0</v>
      </c>
      <c r="G73" s="1">
        <f>F73*X73</f>
        <v>0</v>
      </c>
      <c r="K73" s="1">
        <f>J73*X73</f>
        <v>0</v>
      </c>
      <c r="W73" s="1">
        <f>B73+D73+F73+H73+J73+L73</f>
        <v>0</v>
      </c>
    </row>
    <row r="74" spans="3:23" ht="12.75">
      <c r="C74" s="1">
        <f>B74*X74</f>
        <v>0</v>
      </c>
      <c r="E74" s="1">
        <f>D74*X74</f>
        <v>0</v>
      </c>
      <c r="G74" s="1">
        <f>F74*X74</f>
        <v>0</v>
      </c>
      <c r="W74" s="1">
        <f>B74+D74+F74+H74+J74+L74</f>
        <v>0</v>
      </c>
    </row>
    <row r="75" spans="3:23" ht="12.75">
      <c r="C75" s="1">
        <f>B75*X75</f>
        <v>0</v>
      </c>
      <c r="E75" s="1">
        <f>D75*X75</f>
        <v>0</v>
      </c>
      <c r="G75" s="1">
        <f>F75*X75</f>
        <v>0</v>
      </c>
      <c r="W75" s="1">
        <f>B75+D75+F75+H75+J75+L75</f>
        <v>0</v>
      </c>
    </row>
    <row r="76" spans="3:23" ht="12.75">
      <c r="C76" s="1">
        <f>B76*X76</f>
        <v>0</v>
      </c>
      <c r="E76" s="1">
        <f>D76*X76</f>
        <v>0</v>
      </c>
      <c r="G76" s="1">
        <f>F76*X76</f>
        <v>0</v>
      </c>
      <c r="W76" s="1">
        <f>B76+D76+F76+H76+J76+L76</f>
        <v>0</v>
      </c>
    </row>
    <row r="77" spans="3:23" ht="12.75">
      <c r="C77" s="1">
        <f>B77*X77</f>
        <v>0</v>
      </c>
      <c r="E77" s="1">
        <f>D77*X77</f>
        <v>0</v>
      </c>
      <c r="G77" s="1">
        <f>F77*X77</f>
        <v>0</v>
      </c>
      <c r="W77" s="1">
        <f>B77+D77+F77+H77+J77+L77</f>
        <v>0</v>
      </c>
    </row>
    <row r="78" spans="3:23" ht="12.75">
      <c r="C78" s="1">
        <f>B78*X78</f>
        <v>0</v>
      </c>
      <c r="E78" s="1">
        <f>D78*X78</f>
        <v>0</v>
      </c>
      <c r="G78" s="1">
        <f>F78*X78</f>
        <v>0</v>
      </c>
      <c r="W78" s="1">
        <f>B78+D78+F78+H78+J78+L78</f>
        <v>0</v>
      </c>
    </row>
    <row r="79" spans="3:23" ht="12.75">
      <c r="C79" s="1">
        <f>B79*X79</f>
        <v>0</v>
      </c>
      <c r="E79" s="1">
        <f>D79*X79</f>
        <v>0</v>
      </c>
      <c r="G79" s="1">
        <f>F79*X79</f>
        <v>0</v>
      </c>
      <c r="W79" s="1">
        <f>B79+D79+F79+H79+J79+L79</f>
        <v>0</v>
      </c>
    </row>
    <row r="80" spans="3:23" ht="12.75">
      <c r="C80" s="1">
        <f>B80*X80</f>
        <v>0</v>
      </c>
      <c r="E80" s="1">
        <f>D80*X80</f>
        <v>0</v>
      </c>
      <c r="G80" s="1">
        <f>F80*X80</f>
        <v>0</v>
      </c>
      <c r="W80" s="1">
        <f>B80+D80+F80+H80+J80+L80</f>
        <v>0</v>
      </c>
    </row>
    <row r="81" spans="3:23" ht="12.75">
      <c r="C81" s="1">
        <f>B81*X81</f>
        <v>0</v>
      </c>
      <c r="E81" s="1">
        <f>D81*X81</f>
        <v>0</v>
      </c>
      <c r="W81" s="1">
        <f>B81+D81+F81+H81+J81+L81</f>
        <v>0</v>
      </c>
    </row>
    <row r="82" spans="3:23" ht="12.75">
      <c r="C82" s="1">
        <f>B82*X82</f>
        <v>0</v>
      </c>
      <c r="E82" s="1">
        <f>D82*X82</f>
        <v>0</v>
      </c>
      <c r="W82" s="1">
        <f>B82+D82+F82+H82+J82+L82</f>
        <v>0</v>
      </c>
    </row>
    <row r="83" spans="3:23" ht="12.75">
      <c r="C83" s="1">
        <f>B83*X83</f>
        <v>0</v>
      </c>
      <c r="E83" s="1">
        <f>D83*X83</f>
        <v>0</v>
      </c>
      <c r="W83" s="1">
        <f>B83+D83+F83+H83+J83+L83</f>
        <v>0</v>
      </c>
    </row>
    <row r="84" spans="3:23" ht="12.75">
      <c r="C84" s="1">
        <f>B84*X84</f>
        <v>0</v>
      </c>
      <c r="E84" s="1">
        <f>D84*X84</f>
        <v>0</v>
      </c>
      <c r="W84" s="1">
        <f>B84+D84+F84+H84+J84+L84</f>
        <v>0</v>
      </c>
    </row>
    <row r="85" spans="3:23" ht="12.75">
      <c r="C85" s="1">
        <f>B85*X85</f>
        <v>0</v>
      </c>
      <c r="E85" s="1">
        <f>D85*X85</f>
        <v>0</v>
      </c>
      <c r="W85" s="1">
        <f>B85+D85+F85+H85+J85+L85</f>
        <v>0</v>
      </c>
    </row>
    <row r="86" spans="3:23" ht="12.75">
      <c r="C86" s="1">
        <f>B86*X86</f>
        <v>0</v>
      </c>
      <c r="E86" s="1">
        <f>D86*X86</f>
        <v>0</v>
      </c>
      <c r="W86" s="1">
        <f>B86+D86+F86+H86+J86+L86</f>
        <v>0</v>
      </c>
    </row>
    <row r="87" spans="3:23" ht="12.75">
      <c r="C87" s="1">
        <f>B87*X87</f>
        <v>0</v>
      </c>
      <c r="E87" s="1">
        <f>D87*X87</f>
        <v>0</v>
      </c>
      <c r="W87" s="1">
        <f>B87+D87+F87+H87+J87+L87</f>
        <v>0</v>
      </c>
    </row>
    <row r="88" spans="3:23" ht="12.75">
      <c r="C88" s="1">
        <f>B88*X88</f>
        <v>0</v>
      </c>
      <c r="E88" s="1">
        <f>D88*X88</f>
        <v>0</v>
      </c>
      <c r="W88" s="1">
        <f>B88+D88+F88+H88+J88+L88</f>
        <v>0</v>
      </c>
    </row>
    <row r="89" spans="3:23" ht="12.75">
      <c r="C89" s="1">
        <f>B89*X89</f>
        <v>0</v>
      </c>
      <c r="E89" s="1">
        <f>D89*X89</f>
        <v>0</v>
      </c>
      <c r="W89" s="1">
        <f>B89+D89+F89+H89+J89+L89</f>
        <v>0</v>
      </c>
    </row>
    <row r="90" spans="3:23" ht="12.75">
      <c r="C90" s="1">
        <f>B90*X90</f>
        <v>0</v>
      </c>
      <c r="E90" s="1">
        <f>D90*X90</f>
        <v>0</v>
      </c>
      <c r="W90" s="1">
        <f>B90+D90+F90+H90+J90+L90</f>
        <v>0</v>
      </c>
    </row>
    <row r="91" spans="3:23" ht="12.75">
      <c r="C91" s="1">
        <f>B91*X91</f>
        <v>0</v>
      </c>
      <c r="E91" s="1">
        <f>D91*X91</f>
        <v>0</v>
      </c>
      <c r="W91" s="1">
        <f>B91+D91+F91+H91+J91+L91</f>
        <v>0</v>
      </c>
    </row>
    <row r="92" spans="3:23" ht="12.75">
      <c r="C92" s="1">
        <f>B92*X92</f>
        <v>0</v>
      </c>
      <c r="E92" s="1">
        <f>D92*X92</f>
        <v>0</v>
      </c>
      <c r="W92" s="1">
        <f>B92+D92+F92+H92+J92+L92</f>
        <v>0</v>
      </c>
    </row>
    <row r="93" spans="3:23" ht="12.75">
      <c r="C93" s="1">
        <f>B93*X93</f>
        <v>0</v>
      </c>
      <c r="E93" s="1">
        <f>D93*X93</f>
        <v>0</v>
      </c>
      <c r="W93" s="1">
        <f>B93+D93+F93+H93+J93+L93</f>
        <v>0</v>
      </c>
    </row>
    <row r="94" spans="3:23" ht="12.75">
      <c r="C94" s="1">
        <f>B94*X94</f>
        <v>0</v>
      </c>
      <c r="E94" s="1">
        <f>D94*X94</f>
        <v>0</v>
      </c>
      <c r="W94" s="1">
        <f>B94+D94+F94+H94+J94+L94</f>
        <v>0</v>
      </c>
    </row>
    <row r="95" spans="3:23" ht="12.75">
      <c r="C95" s="1">
        <f>B95*X95</f>
        <v>0</v>
      </c>
      <c r="E95" s="1">
        <f>D95*X95</f>
        <v>0</v>
      </c>
      <c r="W95" s="1">
        <f>B95+D95+F95+H95+J95+L95</f>
        <v>0</v>
      </c>
    </row>
    <row r="96" spans="3:23" ht="12.75">
      <c r="C96" s="1">
        <f>B96*X96</f>
        <v>0</v>
      </c>
      <c r="E96" s="1">
        <f>D96*X96</f>
        <v>0</v>
      </c>
      <c r="W96" s="1">
        <f>B96+D96+F96+H96+J96+L96</f>
        <v>0</v>
      </c>
    </row>
    <row r="97" spans="3:23" ht="12.75">
      <c r="C97" s="1">
        <f>B97*X97</f>
        <v>0</v>
      </c>
      <c r="E97" s="1">
        <f>D97*X97</f>
        <v>0</v>
      </c>
      <c r="W97" s="1">
        <f>B97+D97+F97+H97+J97+L97</f>
        <v>0</v>
      </c>
    </row>
    <row r="98" ht="12.75">
      <c r="C98" s="1">
        <f>B98*X98</f>
        <v>0</v>
      </c>
    </row>
    <row r="99" ht="12.75">
      <c r="C99" s="1">
        <f>B99*X99</f>
        <v>0</v>
      </c>
    </row>
    <row r="100" ht="12.75">
      <c r="C100" s="1">
        <f>B100*X100</f>
        <v>0</v>
      </c>
    </row>
    <row r="101" ht="12.75">
      <c r="C101" s="1">
        <f>B101*X101</f>
        <v>0</v>
      </c>
    </row>
    <row r="102" ht="12.75">
      <c r="C102" s="1">
        <f>B102*X102</f>
        <v>0</v>
      </c>
    </row>
    <row r="103" ht="12.75">
      <c r="C103" s="1">
        <f>B103*X103</f>
        <v>0</v>
      </c>
    </row>
    <row r="104" ht="12.75">
      <c r="C104" s="1">
        <f>B104*X104</f>
        <v>0</v>
      </c>
    </row>
    <row r="105" ht="12.75">
      <c r="C105" s="1">
        <f>B105*X105</f>
        <v>0</v>
      </c>
    </row>
    <row r="106" ht="12.75">
      <c r="C106" s="1">
        <f>B106*X106</f>
        <v>0</v>
      </c>
    </row>
    <row r="107" ht="12.75">
      <c r="C107" s="1">
        <f>B107*X107</f>
        <v>0</v>
      </c>
    </row>
    <row r="108" ht="12.75">
      <c r="C108" s="1">
        <f>B108*X108</f>
        <v>0</v>
      </c>
    </row>
    <row r="109" ht="12.75">
      <c r="C109" s="1">
        <f>B109*X109</f>
        <v>0</v>
      </c>
    </row>
    <row r="110" ht="12.75">
      <c r="C110" s="1">
        <f>B110*X110</f>
        <v>0</v>
      </c>
    </row>
    <row r="111" ht="12.75">
      <c r="C111" s="1">
        <f>B111*X111</f>
        <v>0</v>
      </c>
    </row>
    <row r="112" ht="12.75">
      <c r="C112" s="1">
        <f>B112*X112</f>
        <v>0</v>
      </c>
    </row>
    <row r="113" ht="12.75">
      <c r="C113" s="1">
        <f>B113*X113</f>
        <v>0</v>
      </c>
    </row>
    <row r="114" ht="12.75">
      <c r="C114" s="1">
        <f>B114*X114</f>
        <v>0</v>
      </c>
    </row>
    <row r="115" ht="12.75">
      <c r="C115" s="1">
        <f>B115*X115</f>
        <v>0</v>
      </c>
    </row>
    <row r="116" ht="12.75">
      <c r="C116" s="1">
        <f>B116*X116</f>
        <v>0</v>
      </c>
    </row>
    <row r="117" ht="12.75">
      <c r="C117" s="1">
        <f>B117*X117</f>
        <v>0</v>
      </c>
    </row>
    <row r="118" ht="12.75">
      <c r="C118" s="1">
        <f>B118*X118</f>
        <v>0</v>
      </c>
    </row>
    <row r="119" ht="12.75">
      <c r="C119" s="1">
        <f>B119*X119</f>
        <v>0</v>
      </c>
    </row>
    <row r="120" ht="12.75">
      <c r="C120" s="1">
        <f>B120*X120</f>
        <v>0</v>
      </c>
    </row>
    <row r="121" ht="12.75">
      <c r="C121" s="1">
        <f>B121*X121</f>
        <v>0</v>
      </c>
    </row>
    <row r="122" ht="12.75">
      <c r="C122" s="1">
        <f>B122*X122</f>
        <v>0</v>
      </c>
    </row>
    <row r="123" ht="12.75">
      <c r="C123" s="1">
        <f>B123*X123</f>
        <v>0</v>
      </c>
    </row>
    <row r="124" ht="12.75">
      <c r="C124" s="1">
        <f>B124*X124</f>
        <v>0</v>
      </c>
    </row>
    <row r="125" ht="12.75">
      <c r="C125" s="1">
        <f>B125*X125</f>
        <v>0</v>
      </c>
    </row>
    <row r="126" ht="12.75">
      <c r="C126" s="1">
        <f>B126*X126</f>
        <v>0</v>
      </c>
    </row>
    <row r="127" ht="12.75">
      <c r="C127" s="1">
        <f>B127*X127</f>
        <v>0</v>
      </c>
    </row>
    <row r="128" ht="12.75">
      <c r="C128" s="1">
        <f>B128*X128</f>
        <v>0</v>
      </c>
    </row>
    <row r="129" ht="12.75">
      <c r="C129" s="1">
        <f>B129*X129</f>
        <v>0</v>
      </c>
    </row>
    <row r="130" ht="12.75">
      <c r="C130" s="1">
        <f>B130*X130</f>
        <v>0</v>
      </c>
    </row>
    <row r="131" ht="12.75">
      <c r="C131" s="1">
        <f>B131*X131</f>
        <v>0</v>
      </c>
    </row>
    <row r="132" ht="12.75">
      <c r="C132" s="1">
        <f>B132*X132</f>
        <v>0</v>
      </c>
    </row>
    <row r="133" ht="12.75">
      <c r="C133" s="1">
        <f>B133*X133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N1">
      <selection activeCell="AE11" sqref="AE11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7.1406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W1" s="1" t="s">
        <v>249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42339</v>
      </c>
      <c r="C2" s="1">
        <f>B2*Y2</f>
        <v>0</v>
      </c>
      <c r="D2" s="1">
        <v>230</v>
      </c>
      <c r="E2" s="1">
        <f>D2*Y2</f>
        <v>57.5</v>
      </c>
      <c r="F2" s="1">
        <v>110</v>
      </c>
      <c r="G2" s="1">
        <f>F2*Y2</f>
        <v>27.5</v>
      </c>
      <c r="I2" s="1">
        <f>H2*Y2</f>
        <v>0</v>
      </c>
      <c r="K2" s="1">
        <f>J2*Y2</f>
        <v>0</v>
      </c>
      <c r="M2" s="1">
        <f>L2*Y2</f>
        <v>0</v>
      </c>
      <c r="N2" s="37"/>
      <c r="O2" s="37"/>
      <c r="P2" s="37"/>
      <c r="Q2" s="37" t="s">
        <v>26</v>
      </c>
      <c r="R2" s="37"/>
      <c r="S2" s="37"/>
      <c r="T2" s="37"/>
      <c r="U2" s="37"/>
      <c r="W2" s="1" t="s">
        <v>263</v>
      </c>
      <c r="X2" s="38">
        <f>B2+D2+F2+H2+J2+L2</f>
        <v>340</v>
      </c>
      <c r="Y2" s="38">
        <v>0.25</v>
      </c>
      <c r="Z2" s="43">
        <f>X2*Y2</f>
        <v>85</v>
      </c>
      <c r="AB2" s="1">
        <f>1</f>
        <v>1</v>
      </c>
      <c r="AD2" s="44" t="s">
        <v>28</v>
      </c>
      <c r="AE2" s="44">
        <f>SUM(Z2:Z995)</f>
        <v>2382.722725</v>
      </c>
      <c r="AF2" s="44"/>
      <c r="AG2" s="44" t="s">
        <v>29</v>
      </c>
      <c r="AH2" s="58">
        <f>AE2/AE5</f>
        <v>76.86202338709678</v>
      </c>
      <c r="AJ2" s="44" t="s">
        <v>93</v>
      </c>
      <c r="AK2" s="44">
        <f>COUNTBLANK(L2:L41)-COUNTBLANK(A2:A41)</f>
        <v>19</v>
      </c>
      <c r="AL2" s="7"/>
      <c r="AM2" s="59" t="s">
        <v>31</v>
      </c>
      <c r="AN2" s="59">
        <f>SUMIF(AB2:AB45,"=1",Z2:Z45)</f>
        <v>580</v>
      </c>
      <c r="AO2" s="7"/>
      <c r="AP2" s="59" t="s">
        <v>32</v>
      </c>
      <c r="AQ2" s="59">
        <f>SUMIF(AB2:AB45,"=2",Z2:Z45)</f>
        <v>1802.7227250000003</v>
      </c>
    </row>
    <row r="3" spans="1:43" ht="12.75">
      <c r="A3" s="5">
        <v>42340</v>
      </c>
      <c r="C3" s="1">
        <f>B3*Y3</f>
        <v>0</v>
      </c>
      <c r="E3" s="1">
        <f>D3*Y3</f>
        <v>0</v>
      </c>
      <c r="G3" s="1">
        <f>F3*Y3</f>
        <v>0</v>
      </c>
      <c r="I3" s="1">
        <f>H3*Y3</f>
        <v>0</v>
      </c>
      <c r="K3" s="1">
        <f>J3*Y3</f>
        <v>0</v>
      </c>
      <c r="M3" s="1">
        <f>L3*Y3</f>
        <v>0</v>
      </c>
      <c r="N3" s="37"/>
      <c r="O3" s="37"/>
      <c r="P3" s="37"/>
      <c r="Q3" s="37" t="s">
        <v>26</v>
      </c>
      <c r="R3" s="37"/>
      <c r="S3" s="37"/>
      <c r="T3" s="37"/>
      <c r="U3" s="37"/>
      <c r="W3" s="1" t="s">
        <v>263</v>
      </c>
      <c r="X3" s="38">
        <f>B3+D3+F3+H3+J3+L3</f>
        <v>0</v>
      </c>
      <c r="Y3" s="38">
        <v>0.25</v>
      </c>
      <c r="Z3" s="43">
        <f>X3*Y3</f>
        <v>0</v>
      </c>
      <c r="AB3" s="1">
        <f>1</f>
        <v>1</v>
      </c>
      <c r="AD3" s="49"/>
      <c r="AE3" s="44"/>
      <c r="AF3" s="44"/>
      <c r="AG3" s="49"/>
      <c r="AH3" s="45"/>
      <c r="AJ3" s="44" t="s">
        <v>95</v>
      </c>
      <c r="AK3" s="44">
        <f>COUNT(L2:L37)</f>
        <v>12</v>
      </c>
      <c r="AM3" s="59" t="s">
        <v>35</v>
      </c>
      <c r="AN3" s="59">
        <f>_xlfn.COUNTIFS(A2:A45,"&lt;&gt;''",AB2:AB45,"=1")</f>
        <v>16</v>
      </c>
      <c r="AO3" s="7"/>
      <c r="AP3" s="59" t="s">
        <v>36</v>
      </c>
      <c r="AQ3" s="59">
        <f>_xlfn.COUNTIFS(A2:A45,"&lt;&gt;''",AB2:AB45,"=2")</f>
        <v>15</v>
      </c>
    </row>
    <row r="4" spans="1:43" ht="12.75">
      <c r="A4" s="5">
        <v>42341</v>
      </c>
      <c r="C4" s="1">
        <f>B4*Y4</f>
        <v>0</v>
      </c>
      <c r="D4" s="1">
        <v>65</v>
      </c>
      <c r="E4" s="1">
        <f>D4*Y4</f>
        <v>16.25</v>
      </c>
      <c r="G4" s="1">
        <f>F4*Y4</f>
        <v>0</v>
      </c>
      <c r="I4" s="1">
        <f>H4*Y4</f>
        <v>0</v>
      </c>
      <c r="K4" s="1">
        <f>J4*Y4</f>
        <v>0</v>
      </c>
      <c r="M4" s="1">
        <f>L4*Y4</f>
        <v>0</v>
      </c>
      <c r="N4" s="37"/>
      <c r="O4" s="37"/>
      <c r="P4" s="37"/>
      <c r="Q4" s="37" t="s">
        <v>26</v>
      </c>
      <c r="R4" s="37"/>
      <c r="S4" s="37"/>
      <c r="T4" s="37"/>
      <c r="U4" s="37"/>
      <c r="W4" s="1" t="s">
        <v>263</v>
      </c>
      <c r="X4" s="38">
        <f>B4+D4+F4+H4+J4+L4</f>
        <v>65</v>
      </c>
      <c r="Y4" s="38">
        <v>0.25</v>
      </c>
      <c r="Z4" s="43">
        <f>X4*Y4</f>
        <v>16.25</v>
      </c>
      <c r="AB4" s="1">
        <v>1</v>
      </c>
      <c r="AD4" s="44"/>
      <c r="AE4" s="44"/>
      <c r="AF4" s="44"/>
      <c r="AG4" s="44"/>
      <c r="AH4" s="44"/>
      <c r="AJ4" s="44" t="s">
        <v>218</v>
      </c>
      <c r="AK4" s="44">
        <f>COUNTA(S2:S50)</f>
        <v>3</v>
      </c>
      <c r="AM4" s="59" t="s">
        <v>39</v>
      </c>
      <c r="AN4" s="59">
        <f>AN2/AN3</f>
        <v>36.25</v>
      </c>
      <c r="AO4" s="7"/>
      <c r="AP4" s="59" t="s">
        <v>40</v>
      </c>
      <c r="AQ4" s="59">
        <f>AQ2/AQ3</f>
        <v>120.18151500000002</v>
      </c>
    </row>
    <row r="5" spans="1:37" ht="12.75">
      <c r="A5" s="5">
        <v>42342</v>
      </c>
      <c r="C5" s="1">
        <f>B5*Y5</f>
        <v>0</v>
      </c>
      <c r="D5" s="1">
        <v>82</v>
      </c>
      <c r="E5" s="1">
        <f>D5*Y5</f>
        <v>20.5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N5" s="37"/>
      <c r="O5" s="37"/>
      <c r="P5" s="37"/>
      <c r="Q5" s="37" t="s">
        <v>26</v>
      </c>
      <c r="R5" s="37"/>
      <c r="S5" s="37"/>
      <c r="T5" s="37"/>
      <c r="U5" s="37"/>
      <c r="W5" s="1" t="s">
        <v>263</v>
      </c>
      <c r="X5" s="38">
        <f>B5+D5+F5+H5+J5+L5</f>
        <v>82</v>
      </c>
      <c r="Y5" s="38">
        <v>0.25</v>
      </c>
      <c r="Z5" s="43">
        <f>X5*Y5</f>
        <v>20.5</v>
      </c>
      <c r="AB5" s="1">
        <v>1</v>
      </c>
      <c r="AD5" s="44" t="s">
        <v>42</v>
      </c>
      <c r="AE5" s="44">
        <f>COUNTA(A2:A350)</f>
        <v>31</v>
      </c>
      <c r="AF5" s="44"/>
      <c r="AG5" s="44"/>
      <c r="AH5" s="44"/>
      <c r="AJ5" s="49" t="s">
        <v>264</v>
      </c>
      <c r="AK5" s="44">
        <f>COUNTA(N2:N50)</f>
        <v>6</v>
      </c>
    </row>
    <row r="6" spans="1:37" ht="12.75">
      <c r="A6" s="5">
        <v>42343</v>
      </c>
      <c r="C6" s="1">
        <f>B6*Y6</f>
        <v>0</v>
      </c>
      <c r="D6" s="1">
        <v>80</v>
      </c>
      <c r="E6" s="1">
        <f>D6*Y6</f>
        <v>20</v>
      </c>
      <c r="G6" s="1">
        <f>F6*Y6</f>
        <v>0</v>
      </c>
      <c r="I6" s="1">
        <f>H6*Y6</f>
        <v>0</v>
      </c>
      <c r="K6" s="1">
        <f>J6*Y6</f>
        <v>0</v>
      </c>
      <c r="M6" s="1">
        <f>L6*Y6</f>
        <v>0</v>
      </c>
      <c r="N6" s="37"/>
      <c r="O6" s="37"/>
      <c r="P6" s="37"/>
      <c r="Q6" s="37" t="s">
        <v>26</v>
      </c>
      <c r="R6" s="37"/>
      <c r="S6" s="37"/>
      <c r="T6" s="37"/>
      <c r="U6" s="37"/>
      <c r="W6" s="1" t="s">
        <v>263</v>
      </c>
      <c r="X6" s="38">
        <f>B6+D6+F6+H6+J6+L6</f>
        <v>80</v>
      </c>
      <c r="Y6" s="38">
        <v>0.25</v>
      </c>
      <c r="Z6" s="43">
        <f>X6*Y6</f>
        <v>20</v>
      </c>
      <c r="AB6" s="1">
        <v>1</v>
      </c>
      <c r="AD6" s="49"/>
      <c r="AE6" s="44"/>
      <c r="AF6" s="44"/>
      <c r="AG6" s="44"/>
      <c r="AH6" s="44"/>
      <c r="AJ6" s="49" t="s">
        <v>265</v>
      </c>
      <c r="AK6" s="44">
        <f>COUNTA(P2:P50)</f>
        <v>6</v>
      </c>
    </row>
    <row r="7" spans="1:37" ht="12.75">
      <c r="A7" s="5">
        <v>42344</v>
      </c>
      <c r="C7" s="1">
        <f>B7*Y7</f>
        <v>0</v>
      </c>
      <c r="D7" s="1">
        <v>86</v>
      </c>
      <c r="E7" s="1">
        <f>D7*Y7</f>
        <v>21.5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N7" s="37"/>
      <c r="O7" s="37"/>
      <c r="P7" s="37"/>
      <c r="Q7" s="37" t="s">
        <v>26</v>
      </c>
      <c r="R7" s="37"/>
      <c r="S7" s="37"/>
      <c r="T7" s="37"/>
      <c r="U7" s="37"/>
      <c r="W7" s="1" t="s">
        <v>263</v>
      </c>
      <c r="X7" s="38">
        <f>B7+D7+F7+H7+J7+L7</f>
        <v>86</v>
      </c>
      <c r="Y7" s="38">
        <v>0.25</v>
      </c>
      <c r="Z7" s="43">
        <f>X7*Y7</f>
        <v>21.5</v>
      </c>
      <c r="AB7" s="1">
        <v>1</v>
      </c>
      <c r="AD7" s="44"/>
      <c r="AE7" s="44"/>
      <c r="AF7" s="44"/>
      <c r="AG7" s="44"/>
      <c r="AH7" s="44"/>
      <c r="AJ7" s="44" t="s">
        <v>16</v>
      </c>
      <c r="AK7" s="44">
        <f>COUNTA(Q2:Q50)</f>
        <v>15</v>
      </c>
    </row>
    <row r="8" spans="1:37" ht="12.75">
      <c r="A8" s="5">
        <v>42345</v>
      </c>
      <c r="C8" s="1">
        <f>B8*Y8</f>
        <v>0</v>
      </c>
      <c r="E8" s="1">
        <f>D8*Y8</f>
        <v>0</v>
      </c>
      <c r="G8" s="1">
        <f>F8*Y8</f>
        <v>0</v>
      </c>
      <c r="I8" s="1">
        <f>H8*Y8</f>
        <v>0</v>
      </c>
      <c r="K8" s="1">
        <f>J8*Y8</f>
        <v>0</v>
      </c>
      <c r="M8" s="1">
        <f>L8*Y8</f>
        <v>0</v>
      </c>
      <c r="N8" s="37"/>
      <c r="O8" s="37"/>
      <c r="P8" s="37"/>
      <c r="Q8" s="37" t="s">
        <v>26</v>
      </c>
      <c r="R8" s="37"/>
      <c r="S8" s="37"/>
      <c r="T8" s="37"/>
      <c r="U8" s="37"/>
      <c r="W8" s="1" t="s">
        <v>263</v>
      </c>
      <c r="X8" s="38">
        <f>B8+D8+F8+H8+J8+L8</f>
        <v>0</v>
      </c>
      <c r="Y8" s="38">
        <v>0.25</v>
      </c>
      <c r="Z8" s="43">
        <f>X8*Y8</f>
        <v>0</v>
      </c>
      <c r="AB8" s="1">
        <v>1</v>
      </c>
      <c r="AD8" s="44" t="s">
        <v>48</v>
      </c>
      <c r="AE8" s="54">
        <f>SUM(M2:M995)</f>
        <v>669.5250000000001</v>
      </c>
      <c r="AF8" s="44"/>
      <c r="AG8" s="44" t="s">
        <v>224</v>
      </c>
      <c r="AH8" s="54">
        <f>AE8/$AE$5</f>
        <v>21.597580645161294</v>
      </c>
      <c r="AJ8" s="8"/>
      <c r="AK8" s="8"/>
    </row>
    <row r="9" spans="1:36" ht="12.75">
      <c r="A9" s="5">
        <v>42346</v>
      </c>
      <c r="C9" s="1">
        <f>B9*Y9</f>
        <v>0</v>
      </c>
      <c r="E9" s="1">
        <f>D9*Y9</f>
        <v>0</v>
      </c>
      <c r="F9" s="1">
        <v>200</v>
      </c>
      <c r="G9" s="1">
        <f>F9*Y9</f>
        <v>50</v>
      </c>
      <c r="I9" s="1">
        <f>H9*Y9</f>
        <v>0</v>
      </c>
      <c r="K9" s="1">
        <f>J9*Y9</f>
        <v>0</v>
      </c>
      <c r="M9" s="1">
        <f>L9*Y9</f>
        <v>0</v>
      </c>
      <c r="N9" s="37"/>
      <c r="O9" s="37"/>
      <c r="P9" s="37"/>
      <c r="Q9" s="37" t="s">
        <v>26</v>
      </c>
      <c r="R9" s="37"/>
      <c r="S9" s="37"/>
      <c r="T9" s="37"/>
      <c r="U9" s="37"/>
      <c r="W9" s="1" t="s">
        <v>263</v>
      </c>
      <c r="X9" s="38">
        <f>B9+D9+F9+H9+J9+L9</f>
        <v>200</v>
      </c>
      <c r="Y9" s="38">
        <v>0.25</v>
      </c>
      <c r="Z9" s="43">
        <f>X9*Y9</f>
        <v>50</v>
      </c>
      <c r="AB9" s="1">
        <v>1</v>
      </c>
      <c r="AD9" s="44" t="s">
        <v>50</v>
      </c>
      <c r="AE9" s="44">
        <f>SUM(C2:C995)</f>
        <v>648.06</v>
      </c>
      <c r="AF9" s="44"/>
      <c r="AG9" s="44" t="s">
        <v>227</v>
      </c>
      <c r="AH9" s="44">
        <f>AE9/$AE$5</f>
        <v>20.905161290322578</v>
      </c>
      <c r="AJ9" s="8"/>
    </row>
    <row r="10" spans="1:34" ht="12.75">
      <c r="A10" s="5">
        <v>42347</v>
      </c>
      <c r="C10" s="1">
        <f>B10*Y10</f>
        <v>0</v>
      </c>
      <c r="D10" s="1">
        <v>101</v>
      </c>
      <c r="E10" s="1">
        <f>D10*Y10</f>
        <v>25.25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N10" s="37"/>
      <c r="O10" s="37"/>
      <c r="P10" s="37"/>
      <c r="Q10" s="37" t="s">
        <v>26</v>
      </c>
      <c r="R10" s="37"/>
      <c r="S10" s="37"/>
      <c r="T10" s="37"/>
      <c r="U10" s="37"/>
      <c r="W10" s="1" t="s">
        <v>263</v>
      </c>
      <c r="X10" s="38">
        <f>B10+D10+F10+H10+J10+L10</f>
        <v>101</v>
      </c>
      <c r="Y10" s="38">
        <v>0.25</v>
      </c>
      <c r="Z10" s="43">
        <f>X10*Y10</f>
        <v>25.25</v>
      </c>
      <c r="AB10" s="1">
        <v>1</v>
      </c>
      <c r="AD10" s="44" t="s">
        <v>51</v>
      </c>
      <c r="AE10" s="54">
        <f>SUM(E2:E995)</f>
        <v>657.406475</v>
      </c>
      <c r="AF10" s="44"/>
      <c r="AG10" s="44" t="s">
        <v>228</v>
      </c>
      <c r="AH10" s="44">
        <f>AE10/$AE$5</f>
        <v>21.20666048387097</v>
      </c>
    </row>
    <row r="11" spans="1:34" ht="12.75">
      <c r="A11" s="5">
        <v>42348</v>
      </c>
      <c r="C11" s="1">
        <f>B11*Y11</f>
        <v>0</v>
      </c>
      <c r="E11" s="1">
        <f>D11*Y11</f>
        <v>0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/>
      <c r="O11" s="37"/>
      <c r="P11" s="37"/>
      <c r="Q11" s="37" t="s">
        <v>26</v>
      </c>
      <c r="R11" s="37"/>
      <c r="S11" s="37"/>
      <c r="T11" s="37"/>
      <c r="U11" s="37"/>
      <c r="W11" s="1" t="s">
        <v>263</v>
      </c>
      <c r="X11" s="38">
        <f>B11+D11+F11+H11+J11+L11</f>
        <v>0</v>
      </c>
      <c r="Y11" s="38">
        <v>0.25</v>
      </c>
      <c r="Z11" s="43">
        <f>X11*Y11</f>
        <v>0</v>
      </c>
      <c r="AB11" s="1">
        <v>1</v>
      </c>
      <c r="AD11" s="44" t="s">
        <v>54</v>
      </c>
      <c r="AE11" s="54">
        <f>SUM(G2:G995)</f>
        <v>310.265</v>
      </c>
      <c r="AF11" s="44"/>
      <c r="AG11" s="44" t="s">
        <v>229</v>
      </c>
      <c r="AH11" s="54">
        <f>AE11/$AE$5</f>
        <v>10.008548387096774</v>
      </c>
    </row>
    <row r="12" spans="1:34" ht="12.75">
      <c r="A12" s="5">
        <v>42349</v>
      </c>
      <c r="C12" s="1">
        <f>B12*Y12</f>
        <v>0</v>
      </c>
      <c r="D12" s="1">
        <f>70+64</f>
        <v>134</v>
      </c>
      <c r="E12" s="1">
        <f>D12*Y12</f>
        <v>33.5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/>
      <c r="P12" s="37"/>
      <c r="Q12" s="37" t="s">
        <v>26</v>
      </c>
      <c r="R12" s="37"/>
      <c r="S12" s="37"/>
      <c r="T12" s="37"/>
      <c r="U12" s="37"/>
      <c r="W12" s="1" t="s">
        <v>263</v>
      </c>
      <c r="X12" s="38">
        <f>B12+D12+F12+H12+J12+L12</f>
        <v>134</v>
      </c>
      <c r="Y12" s="38">
        <v>0.25</v>
      </c>
      <c r="Z12" s="43">
        <f>X12*Y12</f>
        <v>33.5</v>
      </c>
      <c r="AB12" s="1">
        <v>1</v>
      </c>
      <c r="AD12" s="44" t="s">
        <v>57</v>
      </c>
      <c r="AE12" s="54">
        <f>SUM(K2:K995)</f>
        <v>73.76625</v>
      </c>
      <c r="AF12" s="44"/>
      <c r="AG12" s="44" t="s">
        <v>231</v>
      </c>
      <c r="AH12" s="54">
        <f>AE12/$AE$5</f>
        <v>2.379556451612903</v>
      </c>
    </row>
    <row r="13" spans="1:34" ht="12.75">
      <c r="A13" s="5">
        <v>42350</v>
      </c>
      <c r="C13" s="1">
        <f>B13*Y13</f>
        <v>0</v>
      </c>
      <c r="D13" s="1">
        <v>64</v>
      </c>
      <c r="E13" s="1">
        <f>D13*Y13</f>
        <v>16</v>
      </c>
      <c r="G13" s="1">
        <f>F13*Y13</f>
        <v>0</v>
      </c>
      <c r="I13" s="1">
        <f>H13*Y13</f>
        <v>0</v>
      </c>
      <c r="K13" s="1">
        <f>J13*Y13</f>
        <v>0</v>
      </c>
      <c r="M13" s="1">
        <f>L13*Y13</f>
        <v>0</v>
      </c>
      <c r="N13" s="37"/>
      <c r="O13" s="37"/>
      <c r="P13" s="37"/>
      <c r="Q13" s="37" t="s">
        <v>26</v>
      </c>
      <c r="R13" s="37"/>
      <c r="S13" s="37"/>
      <c r="T13" s="37"/>
      <c r="U13" s="37"/>
      <c r="W13" s="1" t="s">
        <v>263</v>
      </c>
      <c r="X13" s="38">
        <f>B13+D13+F13+H13+J13+L13</f>
        <v>64</v>
      </c>
      <c r="Y13" s="38">
        <v>0.25</v>
      </c>
      <c r="Z13" s="43">
        <f>X13*Y13</f>
        <v>16</v>
      </c>
      <c r="AB13" s="1">
        <v>1</v>
      </c>
      <c r="AD13" s="44" t="s">
        <v>58</v>
      </c>
      <c r="AE13" s="44">
        <f>SUM(I2:I995)</f>
        <v>23.7</v>
      </c>
      <c r="AF13" s="44"/>
      <c r="AG13" s="44" t="s">
        <v>233</v>
      </c>
      <c r="AH13" s="54">
        <f>AE13/$AE$5</f>
        <v>0.7645161290322581</v>
      </c>
    </row>
    <row r="14" spans="1:28" ht="12.75">
      <c r="A14" s="5">
        <v>42351</v>
      </c>
      <c r="B14" s="1">
        <v>810</v>
      </c>
      <c r="C14" s="1">
        <f>B14*Y14</f>
        <v>202.5</v>
      </c>
      <c r="E14" s="1">
        <f>D14*Y14</f>
        <v>0</v>
      </c>
      <c r="F14" s="1">
        <v>130</v>
      </c>
      <c r="G14" s="1">
        <f>F14*Y14</f>
        <v>32.5</v>
      </c>
      <c r="I14" s="1">
        <f>H14*Y14</f>
        <v>0</v>
      </c>
      <c r="K14" s="1">
        <f>J14*Y14</f>
        <v>0</v>
      </c>
      <c r="M14" s="1">
        <f>L14*Y14</f>
        <v>0</v>
      </c>
      <c r="N14" s="37"/>
      <c r="O14" s="37"/>
      <c r="P14" s="37"/>
      <c r="Q14" s="37" t="s">
        <v>26</v>
      </c>
      <c r="R14" s="37"/>
      <c r="S14" s="37"/>
      <c r="T14" s="37"/>
      <c r="U14" s="37"/>
      <c r="W14" s="1" t="s">
        <v>263</v>
      </c>
      <c r="X14" s="38">
        <f>B14+D14+F14+H14+J14+L14</f>
        <v>940</v>
      </c>
      <c r="Y14" s="38">
        <v>0.25</v>
      </c>
      <c r="Z14" s="43">
        <f>X14*Y14</f>
        <v>235</v>
      </c>
      <c r="AB14" s="1">
        <v>1</v>
      </c>
    </row>
    <row r="15" spans="1:31" ht="12.75">
      <c r="A15" s="5">
        <v>42352</v>
      </c>
      <c r="C15" s="1">
        <f>B15*Y15</f>
        <v>0</v>
      </c>
      <c r="D15" s="1">
        <v>88</v>
      </c>
      <c r="E15" s="1">
        <f>D15*Y15</f>
        <v>22</v>
      </c>
      <c r="G15" s="1">
        <f>F15*Y15</f>
        <v>0</v>
      </c>
      <c r="I15" s="1">
        <f>H15*Y15</f>
        <v>0</v>
      </c>
      <c r="K15" s="1">
        <f>J15*Y15</f>
        <v>0</v>
      </c>
      <c r="M15" s="1">
        <f>L15*Y15</f>
        <v>0</v>
      </c>
      <c r="N15" s="37"/>
      <c r="O15" s="37"/>
      <c r="P15" s="37"/>
      <c r="Q15" s="37" t="s">
        <v>26</v>
      </c>
      <c r="R15" s="37"/>
      <c r="S15" s="37"/>
      <c r="T15" s="37"/>
      <c r="U15" s="37"/>
      <c r="W15" s="60" t="s">
        <v>263</v>
      </c>
      <c r="X15" s="38">
        <f>B15+D15+F15+H15+J15+L15</f>
        <v>88</v>
      </c>
      <c r="Y15" s="38">
        <v>0.25</v>
      </c>
      <c r="Z15" s="43">
        <f>X15*Y15</f>
        <v>22</v>
      </c>
      <c r="AB15" s="1">
        <v>1</v>
      </c>
      <c r="AD15" s="8"/>
      <c r="AE15" s="8"/>
    </row>
    <row r="16" spans="1:30" ht="12.75">
      <c r="A16" s="5">
        <v>42353</v>
      </c>
      <c r="C16" s="1">
        <f>B16*Y16</f>
        <v>0</v>
      </c>
      <c r="D16" s="1">
        <v>70</v>
      </c>
      <c r="E16" s="1">
        <f>D16*Y16</f>
        <v>17.5</v>
      </c>
      <c r="G16" s="1">
        <f>F16*Y16</f>
        <v>0</v>
      </c>
      <c r="I16" s="1">
        <f>H16*Y16</f>
        <v>0</v>
      </c>
      <c r="K16" s="1">
        <f>J16*Y16</f>
        <v>0</v>
      </c>
      <c r="M16" s="1">
        <f>L16*Y16</f>
        <v>0</v>
      </c>
      <c r="N16" s="37"/>
      <c r="O16" s="37"/>
      <c r="P16" s="37"/>
      <c r="Q16" s="37" t="s">
        <v>26</v>
      </c>
      <c r="R16" s="37"/>
      <c r="S16" s="37"/>
      <c r="T16" s="37"/>
      <c r="U16" s="37"/>
      <c r="W16" s="1" t="s">
        <v>263</v>
      </c>
      <c r="X16" s="38">
        <f>B16+D16+F16+H16+J16+L16</f>
        <v>70</v>
      </c>
      <c r="Y16" s="38">
        <v>0.25</v>
      </c>
      <c r="Z16" s="43">
        <f>X16*Y16</f>
        <v>17.5</v>
      </c>
      <c r="AB16" s="1">
        <v>1</v>
      </c>
      <c r="AD16" s="8"/>
    </row>
    <row r="17" spans="1:28" ht="12.75">
      <c r="A17" s="5">
        <v>42354</v>
      </c>
      <c r="C17" s="1">
        <f>B17*Y17</f>
        <v>0</v>
      </c>
      <c r="D17" s="1">
        <v>70</v>
      </c>
      <c r="E17" s="1">
        <f>D17*Y17</f>
        <v>17.5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N17" s="37"/>
      <c r="O17" s="37"/>
      <c r="P17" s="37"/>
      <c r="Q17" s="37"/>
      <c r="R17" s="37"/>
      <c r="S17" s="37"/>
      <c r="T17" s="37"/>
      <c r="U17" s="37"/>
      <c r="W17" s="1" t="s">
        <v>266</v>
      </c>
      <c r="X17" s="38">
        <f>B17+D17+F17+H17+J17+L17</f>
        <v>70</v>
      </c>
      <c r="Y17" s="38">
        <v>0.25</v>
      </c>
      <c r="Z17" s="43">
        <f>X17*Y17</f>
        <v>17.5</v>
      </c>
      <c r="AB17" s="1">
        <v>1</v>
      </c>
    </row>
    <row r="18" spans="1:28" ht="12.75">
      <c r="A18" s="5"/>
      <c r="C18" s="1">
        <f>B18*Y18</f>
        <v>0</v>
      </c>
      <c r="D18" s="1">
        <v>3900</v>
      </c>
      <c r="E18" s="1">
        <f>D18*Y18</f>
        <v>23.107499999999998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N18" s="37"/>
      <c r="O18" s="37"/>
      <c r="P18" s="37"/>
      <c r="Q18" s="37"/>
      <c r="R18" s="37"/>
      <c r="S18" s="37" t="s">
        <v>26</v>
      </c>
      <c r="T18" s="37"/>
      <c r="U18" s="37"/>
      <c r="X18" s="38">
        <f>B18+D18+F18+H18+J18+L18</f>
        <v>3900</v>
      </c>
      <c r="Y18" s="38">
        <v>0.005925</v>
      </c>
      <c r="Z18" s="43">
        <f>X18*Y18</f>
        <v>23.107499999999998</v>
      </c>
      <c r="AB18" s="1">
        <v>2</v>
      </c>
    </row>
    <row r="19" spans="1:28" ht="12.75">
      <c r="A19" s="5">
        <v>42355</v>
      </c>
      <c r="B19" s="1">
        <v>1000</v>
      </c>
      <c r="C19" s="1">
        <f>B19*Y19</f>
        <v>5.925</v>
      </c>
      <c r="D19" s="1">
        <f>4400+1300</f>
        <v>5700</v>
      </c>
      <c r="E19" s="1">
        <f>D19*Y19</f>
        <v>33.7725</v>
      </c>
      <c r="F19" s="1">
        <v>5300</v>
      </c>
      <c r="G19" s="1">
        <f>F19*Y19</f>
        <v>31.4025</v>
      </c>
      <c r="I19" s="1">
        <f>H19*Y19</f>
        <v>0</v>
      </c>
      <c r="K19" s="1">
        <f>J19*Y19</f>
        <v>0</v>
      </c>
      <c r="M19" s="1">
        <f>L19*Y19</f>
        <v>0</v>
      </c>
      <c r="N19" s="37"/>
      <c r="O19" s="37"/>
      <c r="P19" s="37"/>
      <c r="Q19" s="37"/>
      <c r="R19" s="37"/>
      <c r="S19" s="37" t="s">
        <v>26</v>
      </c>
      <c r="T19" s="37"/>
      <c r="U19" s="37"/>
      <c r="W19" s="1" t="s">
        <v>85</v>
      </c>
      <c r="X19" s="38">
        <f>B19+D19+F19+H19+J19+L19</f>
        <v>12000</v>
      </c>
      <c r="Y19" s="38">
        <v>0.005925</v>
      </c>
      <c r="Z19" s="43">
        <f>X19*Y19</f>
        <v>71.1</v>
      </c>
      <c r="AB19" s="1">
        <v>2</v>
      </c>
    </row>
    <row r="20" spans="1:28" ht="12.75">
      <c r="A20" s="5">
        <v>42356</v>
      </c>
      <c r="B20" s="1">
        <f>1000+1600+4000+4000+1600+1200</f>
        <v>13400</v>
      </c>
      <c r="C20" s="1">
        <f>B20*Y20</f>
        <v>79.395</v>
      </c>
      <c r="D20" s="1">
        <f>680+6037</f>
        <v>6717</v>
      </c>
      <c r="E20" s="1">
        <f>D20*Y20</f>
        <v>39.798224999999995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/>
      <c r="Q20" s="37"/>
      <c r="R20" s="37"/>
      <c r="S20" s="37" t="s">
        <v>26</v>
      </c>
      <c r="T20" s="37"/>
      <c r="U20" s="37"/>
      <c r="W20" s="1" t="s">
        <v>85</v>
      </c>
      <c r="X20" s="38">
        <f>B20+D20+F20+H20+J20+L20</f>
        <v>20117</v>
      </c>
      <c r="Y20" s="38">
        <v>0.005925</v>
      </c>
      <c r="Z20" s="43">
        <f>X20*Y20</f>
        <v>119.193225</v>
      </c>
      <c r="AB20" s="1">
        <v>2</v>
      </c>
    </row>
    <row r="21" spans="1:28" ht="12.75">
      <c r="A21" s="5">
        <v>42357</v>
      </c>
      <c r="B21" s="1">
        <f>1600+9000</f>
        <v>10600</v>
      </c>
      <c r="C21" s="1">
        <f>B21*Y21</f>
        <v>62.805</v>
      </c>
      <c r="D21" s="1">
        <v>5300</v>
      </c>
      <c r="E21" s="1">
        <f>D21*Y21</f>
        <v>31.4025</v>
      </c>
      <c r="G21" s="1">
        <f>F21*Y21</f>
        <v>0</v>
      </c>
      <c r="I21" s="1">
        <f>H21*Y21</f>
        <v>0</v>
      </c>
      <c r="J21" s="1">
        <v>400</v>
      </c>
      <c r="K21" s="1">
        <f>J21*Y21</f>
        <v>2.37</v>
      </c>
      <c r="L21" s="1">
        <v>6500</v>
      </c>
      <c r="M21" s="1">
        <f>L21*Y21</f>
        <v>38.512499999999996</v>
      </c>
      <c r="N21" s="37" t="s">
        <v>26</v>
      </c>
      <c r="O21" s="37"/>
      <c r="P21" s="37"/>
      <c r="Q21" s="37"/>
      <c r="R21" s="37"/>
      <c r="S21" s="37"/>
      <c r="T21" s="37"/>
      <c r="U21" s="37"/>
      <c r="W21" s="1" t="s">
        <v>86</v>
      </c>
      <c r="X21" s="38">
        <f>B21+D21+F21+H21+J21+L21</f>
        <v>22800</v>
      </c>
      <c r="Y21" s="38">
        <v>0.005925</v>
      </c>
      <c r="Z21" s="43">
        <f>X21*Y21</f>
        <v>135.09</v>
      </c>
      <c r="AB21" s="1">
        <v>2</v>
      </c>
    </row>
    <row r="22" spans="1:28" ht="12.75">
      <c r="A22" s="5">
        <v>42358</v>
      </c>
      <c r="C22" s="1">
        <f>B22*Y22</f>
        <v>0</v>
      </c>
      <c r="D22" s="1">
        <v>2060</v>
      </c>
      <c r="E22" s="1">
        <f>D22*Y22</f>
        <v>12.205499999999999</v>
      </c>
      <c r="G22" s="1">
        <f>F22*Y22</f>
        <v>0</v>
      </c>
      <c r="I22" s="1">
        <f>H22*Y22</f>
        <v>0</v>
      </c>
      <c r="K22" s="1">
        <f>J22*Y22</f>
        <v>0</v>
      </c>
      <c r="L22" s="1">
        <v>6500</v>
      </c>
      <c r="M22" s="1">
        <f>L22*Y22</f>
        <v>38.512499999999996</v>
      </c>
      <c r="N22" s="37" t="s">
        <v>26</v>
      </c>
      <c r="O22" s="37"/>
      <c r="P22" s="37"/>
      <c r="Q22" s="37"/>
      <c r="R22" s="37"/>
      <c r="S22" s="37"/>
      <c r="T22" s="37"/>
      <c r="U22" s="37"/>
      <c r="W22" s="1" t="s">
        <v>87</v>
      </c>
      <c r="X22" s="38">
        <f>B22+D22+F22+H22+J22+L22</f>
        <v>8560</v>
      </c>
      <c r="Y22" s="38">
        <v>0.005925</v>
      </c>
      <c r="Z22" s="43">
        <f>X22*Y22</f>
        <v>50.717999999999996</v>
      </c>
      <c r="AB22" s="1">
        <v>2</v>
      </c>
    </row>
    <row r="23" spans="1:28" ht="12.75">
      <c r="A23" s="5">
        <v>42359</v>
      </c>
      <c r="B23" s="1">
        <v>4000</v>
      </c>
      <c r="C23" s="1">
        <f>B23*Y23</f>
        <v>23.7</v>
      </c>
      <c r="D23" s="1">
        <f>1020+4530</f>
        <v>5550</v>
      </c>
      <c r="E23" s="1">
        <f>D23*Y23</f>
        <v>32.88375</v>
      </c>
      <c r="G23" s="1">
        <f>F23*Y23</f>
        <v>0</v>
      </c>
      <c r="I23" s="1">
        <f>H23*Y23</f>
        <v>0</v>
      </c>
      <c r="K23" s="1">
        <f>J23*Y23</f>
        <v>0</v>
      </c>
      <c r="L23" s="1">
        <v>16000</v>
      </c>
      <c r="M23" s="1">
        <f>L23*Y23</f>
        <v>94.8</v>
      </c>
      <c r="N23" s="37"/>
      <c r="O23" s="37"/>
      <c r="P23" s="37" t="s">
        <v>26</v>
      </c>
      <c r="Q23" s="37"/>
      <c r="R23" s="37"/>
      <c r="S23" s="37"/>
      <c r="T23" s="37"/>
      <c r="U23" s="37"/>
      <c r="W23" s="1" t="s">
        <v>88</v>
      </c>
      <c r="X23" s="38">
        <f>B23+D23+F23+H23+J23+L23</f>
        <v>25550</v>
      </c>
      <c r="Y23" s="38">
        <v>0.005925</v>
      </c>
      <c r="Z23" s="43">
        <f>X23*Y23</f>
        <v>151.38375</v>
      </c>
      <c r="AB23" s="1">
        <v>2</v>
      </c>
    </row>
    <row r="24" spans="1:28" ht="12.75">
      <c r="A24" s="5">
        <v>42360</v>
      </c>
      <c r="B24" s="1">
        <v>1600</v>
      </c>
      <c r="C24" s="1">
        <f>B24*Y24</f>
        <v>9.48</v>
      </c>
      <c r="D24" s="1">
        <f>1120+1820</f>
        <v>2940</v>
      </c>
      <c r="E24" s="1">
        <f>D24*Y24</f>
        <v>17.4195</v>
      </c>
      <c r="G24" s="1">
        <f>F24*Y24</f>
        <v>0</v>
      </c>
      <c r="I24" s="1">
        <f>H24*Y24</f>
        <v>0</v>
      </c>
      <c r="J24" s="1">
        <v>150</v>
      </c>
      <c r="K24" s="1">
        <f>J24*Y24</f>
        <v>0.8887499999999999</v>
      </c>
      <c r="L24" s="1">
        <v>6000</v>
      </c>
      <c r="M24" s="1">
        <f>L24*Y24</f>
        <v>35.55</v>
      </c>
      <c r="N24" s="37"/>
      <c r="O24" s="37"/>
      <c r="P24" s="37" t="s">
        <v>26</v>
      </c>
      <c r="Q24" s="37"/>
      <c r="R24" s="37"/>
      <c r="S24" s="37"/>
      <c r="T24" s="37"/>
      <c r="U24" s="37"/>
      <c r="W24" s="1" t="s">
        <v>89</v>
      </c>
      <c r="X24" s="38">
        <f>B24+D24+F24+H24+J24+L24</f>
        <v>10690</v>
      </c>
      <c r="Y24" s="38">
        <v>0.005925</v>
      </c>
      <c r="Z24" s="43">
        <f>X24*Y24</f>
        <v>63.338249999999995</v>
      </c>
      <c r="AB24" s="1">
        <v>2</v>
      </c>
    </row>
    <row r="25" spans="1:28" ht="12.75">
      <c r="A25" s="5">
        <v>42361</v>
      </c>
      <c r="B25" s="1">
        <f>1400+1400+1000+1000+1500+1500</f>
        <v>7800</v>
      </c>
      <c r="C25" s="1">
        <f>B25*Y25</f>
        <v>46.214999999999996</v>
      </c>
      <c r="D25" s="1">
        <f>1190+4010</f>
        <v>5200</v>
      </c>
      <c r="E25" s="1">
        <f>D25*Y25</f>
        <v>30.81</v>
      </c>
      <c r="G25" s="1">
        <f>F25*Y25</f>
        <v>0</v>
      </c>
      <c r="I25" s="1">
        <f>H25*Y25</f>
        <v>0</v>
      </c>
      <c r="K25" s="1">
        <f>J25*Y25</f>
        <v>0</v>
      </c>
      <c r="L25" s="1">
        <v>6000</v>
      </c>
      <c r="M25" s="1">
        <f>L25*Y25</f>
        <v>35.55</v>
      </c>
      <c r="N25" s="37"/>
      <c r="O25" s="37"/>
      <c r="P25" s="37" t="s">
        <v>26</v>
      </c>
      <c r="Q25" s="37"/>
      <c r="R25" s="37"/>
      <c r="S25" s="37"/>
      <c r="T25" s="37"/>
      <c r="U25" s="37"/>
      <c r="W25" s="1" t="s">
        <v>89</v>
      </c>
      <c r="X25" s="38">
        <f>B25+D25+F25+H25+J25+L25</f>
        <v>19000</v>
      </c>
      <c r="Y25" s="38">
        <v>0.005925</v>
      </c>
      <c r="Z25" s="43">
        <f>X25*Y25</f>
        <v>112.57499999999999</v>
      </c>
      <c r="AB25" s="1">
        <v>2</v>
      </c>
    </row>
    <row r="26" spans="1:28" ht="12.75">
      <c r="A26" s="5">
        <v>42362</v>
      </c>
      <c r="B26" s="1">
        <v>4800</v>
      </c>
      <c r="C26" s="1">
        <f>B26*Y26</f>
        <v>28.439999999999998</v>
      </c>
      <c r="D26" s="1">
        <v>3600</v>
      </c>
      <c r="E26" s="1">
        <f>D26*Y26</f>
        <v>21.33</v>
      </c>
      <c r="G26" s="1">
        <f>F26*Y26</f>
        <v>0</v>
      </c>
      <c r="H26" s="1">
        <v>1000</v>
      </c>
      <c r="I26" s="1">
        <f>H26*Y26</f>
        <v>5.925</v>
      </c>
      <c r="K26" s="1">
        <f>J26*Y26</f>
        <v>0</v>
      </c>
      <c r="L26" s="1">
        <v>6000</v>
      </c>
      <c r="M26" s="1">
        <f>L26*Y26</f>
        <v>35.55</v>
      </c>
      <c r="N26" s="37"/>
      <c r="O26" s="37"/>
      <c r="P26" s="37" t="s">
        <v>26</v>
      </c>
      <c r="Q26" s="37"/>
      <c r="R26" s="37"/>
      <c r="S26" s="37"/>
      <c r="T26" s="37"/>
      <c r="U26" s="37"/>
      <c r="W26" s="1" t="s">
        <v>89</v>
      </c>
      <c r="X26" s="38">
        <f>B26+D26+F26+H26+J26+L26</f>
        <v>15400</v>
      </c>
      <c r="Y26" s="38">
        <v>0.005925</v>
      </c>
      <c r="Z26" s="43">
        <f>X26*Y26</f>
        <v>91.24499999999999</v>
      </c>
      <c r="AB26" s="1">
        <v>2</v>
      </c>
    </row>
    <row r="27" spans="1:28" ht="12.75">
      <c r="A27" s="5">
        <v>42363</v>
      </c>
      <c r="B27" s="1">
        <f>1500+4000</f>
        <v>5500</v>
      </c>
      <c r="C27" s="1">
        <f>B27*Y27</f>
        <v>32.5875</v>
      </c>
      <c r="D27" s="1">
        <v>1000</v>
      </c>
      <c r="E27" s="1">
        <f>D27*Y27</f>
        <v>5.925</v>
      </c>
      <c r="G27" s="1">
        <f>F27*Y27</f>
        <v>0</v>
      </c>
      <c r="I27" s="1">
        <f>H27*Y27</f>
        <v>0</v>
      </c>
      <c r="K27" s="1">
        <f>J27*Y27</f>
        <v>0</v>
      </c>
      <c r="L27" s="1">
        <v>8000</v>
      </c>
      <c r="M27" s="1">
        <f>L27*Y27</f>
        <v>47.4</v>
      </c>
      <c r="N27" s="37" t="s">
        <v>26</v>
      </c>
      <c r="O27" s="37"/>
      <c r="P27" s="37"/>
      <c r="Q27" s="37"/>
      <c r="R27" s="37"/>
      <c r="S27" s="37"/>
      <c r="T27" s="37"/>
      <c r="U27" s="37"/>
      <c r="W27" s="1" t="s">
        <v>90</v>
      </c>
      <c r="X27" s="38">
        <f>B27+D27+F27+H27+J27+L27</f>
        <v>14500</v>
      </c>
      <c r="Y27" s="38">
        <v>0.005925</v>
      </c>
      <c r="Z27" s="43">
        <f>X27*Y27</f>
        <v>85.9125</v>
      </c>
      <c r="AB27" s="1">
        <v>2</v>
      </c>
    </row>
    <row r="28" spans="1:28" ht="12.75">
      <c r="A28" s="5">
        <v>42364</v>
      </c>
      <c r="C28" s="1">
        <f>B28*Y28</f>
        <v>0</v>
      </c>
      <c r="D28" s="1">
        <f>1000+600</f>
        <v>1600</v>
      </c>
      <c r="E28" s="1">
        <f>D28*Y28</f>
        <v>9.48</v>
      </c>
      <c r="G28" s="1">
        <f>F28*Y28</f>
        <v>0</v>
      </c>
      <c r="H28" s="1">
        <v>3000</v>
      </c>
      <c r="I28" s="1">
        <f>H28*Y28</f>
        <v>17.775</v>
      </c>
      <c r="K28" s="1">
        <f>J28*Y28</f>
        <v>0</v>
      </c>
      <c r="L28" s="1">
        <v>8000</v>
      </c>
      <c r="M28" s="1">
        <f>L28*Y28</f>
        <v>47.4</v>
      </c>
      <c r="N28" s="37" t="s">
        <v>26</v>
      </c>
      <c r="O28" s="37"/>
      <c r="P28" s="37"/>
      <c r="Q28" s="37"/>
      <c r="R28" s="37"/>
      <c r="S28" s="37"/>
      <c r="T28" s="37"/>
      <c r="U28" s="37"/>
      <c r="W28" s="1" t="s">
        <v>90</v>
      </c>
      <c r="X28" s="38">
        <f>B28+D28+F28+H28+J28+L28</f>
        <v>12600</v>
      </c>
      <c r="Y28" s="38">
        <v>0.005925</v>
      </c>
      <c r="Z28" s="43">
        <f>X28*Y28</f>
        <v>74.655</v>
      </c>
      <c r="AB28" s="1">
        <v>2</v>
      </c>
    </row>
    <row r="29" spans="1:28" ht="12.75">
      <c r="A29" s="5">
        <v>42365</v>
      </c>
      <c r="B29" s="1">
        <f>1300*2+1500*2</f>
        <v>5600</v>
      </c>
      <c r="C29" s="1">
        <f>B29*Y29</f>
        <v>33.18</v>
      </c>
      <c r="D29" s="1">
        <f>1160+1550+1100</f>
        <v>3810</v>
      </c>
      <c r="E29" s="1">
        <f>D29*Y29</f>
        <v>22.57425</v>
      </c>
      <c r="G29" s="1">
        <f>F29*Y29</f>
        <v>0</v>
      </c>
      <c r="I29" s="1">
        <f>H29*Y29</f>
        <v>0</v>
      </c>
      <c r="K29" s="1">
        <f>J29*Y29</f>
        <v>0</v>
      </c>
      <c r="L29" s="1">
        <v>15000</v>
      </c>
      <c r="M29" s="1">
        <f>L29*Y29</f>
        <v>88.875</v>
      </c>
      <c r="N29" s="37"/>
      <c r="O29" s="37"/>
      <c r="P29" s="37" t="s">
        <v>26</v>
      </c>
      <c r="Q29" s="37"/>
      <c r="R29" s="37"/>
      <c r="S29" s="37"/>
      <c r="T29" s="37"/>
      <c r="U29" s="37"/>
      <c r="W29" s="1" t="s">
        <v>91</v>
      </c>
      <c r="X29" s="38">
        <f>B29+D29+F29+H29+J29+L29</f>
        <v>24410</v>
      </c>
      <c r="Y29" s="38">
        <v>0.005925</v>
      </c>
      <c r="Z29" s="43">
        <f>X29*Y29</f>
        <v>144.62924999999998</v>
      </c>
      <c r="AB29" s="1">
        <v>2</v>
      </c>
    </row>
    <row r="30" spans="1:28" ht="12.75">
      <c r="A30" s="5">
        <v>42366</v>
      </c>
      <c r="C30" s="1">
        <f>B30*Y30</f>
        <v>0</v>
      </c>
      <c r="D30" s="1">
        <f>500+1660+380</f>
        <v>2540</v>
      </c>
      <c r="E30" s="1">
        <f>D30*Y30</f>
        <v>15.0495</v>
      </c>
      <c r="F30" s="1">
        <v>8500</v>
      </c>
      <c r="G30" s="1">
        <f>F30*Y30</f>
        <v>50.3625</v>
      </c>
      <c r="I30" s="1">
        <f>H30*Y30</f>
        <v>0</v>
      </c>
      <c r="K30" s="1">
        <f>J30*Y30</f>
        <v>0</v>
      </c>
      <c r="L30" s="1">
        <v>15000</v>
      </c>
      <c r="M30" s="1">
        <f>L30*Y30</f>
        <v>88.875</v>
      </c>
      <c r="N30" s="37"/>
      <c r="O30" s="37"/>
      <c r="P30" s="37" t="s">
        <v>26</v>
      </c>
      <c r="Q30" s="37"/>
      <c r="R30" s="37"/>
      <c r="S30" s="37"/>
      <c r="T30" s="37"/>
      <c r="U30" s="37"/>
      <c r="W30" s="1" t="s">
        <v>91</v>
      </c>
      <c r="X30" s="38">
        <f>B30+D30+F30+H30+J30+L30</f>
        <v>26040</v>
      </c>
      <c r="Y30" s="38">
        <v>0.005925</v>
      </c>
      <c r="Z30" s="43">
        <f>X30*Y30</f>
        <v>154.287</v>
      </c>
      <c r="AB30" s="1">
        <v>2</v>
      </c>
    </row>
    <row r="31" spans="1:28" ht="12.75">
      <c r="A31" s="5">
        <v>42367</v>
      </c>
      <c r="B31" s="1">
        <v>20900</v>
      </c>
      <c r="C31" s="1">
        <f>B31*Y31</f>
        <v>123.8325</v>
      </c>
      <c r="D31" s="1">
        <f>1340+660+340</f>
        <v>2340</v>
      </c>
      <c r="E31" s="1">
        <f>D31*Y31</f>
        <v>13.8645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N31" s="37"/>
      <c r="O31" s="37"/>
      <c r="P31" s="37"/>
      <c r="Q31" s="37"/>
      <c r="R31" s="37"/>
      <c r="S31" s="37"/>
      <c r="T31" s="37"/>
      <c r="U31" s="37"/>
      <c r="W31" s="1" t="s">
        <v>91</v>
      </c>
      <c r="X31" s="38">
        <f>B31+D31+F31+H31+J31+L31</f>
        <v>23240</v>
      </c>
      <c r="Y31" s="38">
        <v>0.005925</v>
      </c>
      <c r="Z31" s="43">
        <f>X31*Y31</f>
        <v>137.697</v>
      </c>
      <c r="AB31" s="1">
        <v>2</v>
      </c>
    </row>
    <row r="32" spans="1:28" ht="12.75">
      <c r="A32" s="5">
        <v>42368</v>
      </c>
      <c r="C32" s="1">
        <f>B32*Y32</f>
        <v>0</v>
      </c>
      <c r="D32" s="1">
        <f>1100+1560+8190</f>
        <v>10850</v>
      </c>
      <c r="E32" s="1">
        <f>D32*Y32</f>
        <v>64.28625</v>
      </c>
      <c r="F32" s="8"/>
      <c r="G32" s="1">
        <f>L32*Y32</f>
        <v>59.25</v>
      </c>
      <c r="I32" s="1">
        <f>H32*Y32</f>
        <v>0</v>
      </c>
      <c r="J32" s="1">
        <v>3000</v>
      </c>
      <c r="K32" s="1">
        <f>J32*Y32</f>
        <v>17.775</v>
      </c>
      <c r="L32" s="1">
        <v>10000</v>
      </c>
      <c r="M32" s="1">
        <f>L32*Y32</f>
        <v>59.25</v>
      </c>
      <c r="N32" s="37" t="s">
        <v>26</v>
      </c>
      <c r="O32" s="37"/>
      <c r="P32" s="37"/>
      <c r="Q32" s="37"/>
      <c r="R32" s="37"/>
      <c r="S32" s="37"/>
      <c r="T32" s="37"/>
      <c r="U32" s="37"/>
      <c r="V32" s="1">
        <v>2</v>
      </c>
      <c r="W32" s="1" t="s">
        <v>92</v>
      </c>
      <c r="X32" s="38">
        <f>B32+D32+L32+H32+J32+L32</f>
        <v>33850</v>
      </c>
      <c r="Y32" s="38">
        <v>0.005925</v>
      </c>
      <c r="Z32" s="43">
        <f>X32*Y32</f>
        <v>200.56125</v>
      </c>
      <c r="AB32" s="1">
        <v>2</v>
      </c>
    </row>
    <row r="33" spans="1:28" ht="12.75">
      <c r="A33" s="5">
        <v>42369</v>
      </c>
      <c r="C33" s="1">
        <f>B33*Y33</f>
        <v>0</v>
      </c>
      <c r="D33" s="1">
        <f>2400+300</f>
        <v>2700</v>
      </c>
      <c r="E33" s="1">
        <f>D33*Y33</f>
        <v>15.997499999999999</v>
      </c>
      <c r="F33" s="8"/>
      <c r="G33" s="1">
        <f>L33*Y33</f>
        <v>59.25</v>
      </c>
      <c r="I33" s="1">
        <f>H33*Y33</f>
        <v>0</v>
      </c>
      <c r="J33" s="1">
        <v>8900</v>
      </c>
      <c r="K33" s="1">
        <f>J33*Y33</f>
        <v>52.732499999999995</v>
      </c>
      <c r="L33" s="1">
        <v>10000</v>
      </c>
      <c r="M33" s="1">
        <f>L33*Y33</f>
        <v>59.25</v>
      </c>
      <c r="N33" s="37" t="s">
        <v>26</v>
      </c>
      <c r="O33" s="37"/>
      <c r="P33" s="37"/>
      <c r="Q33" s="37"/>
      <c r="R33" s="37"/>
      <c r="S33" s="37"/>
      <c r="T33" s="37"/>
      <c r="U33" s="37"/>
      <c r="W33" s="1" t="s">
        <v>92</v>
      </c>
      <c r="X33" s="38">
        <f>B33+D33+L33+H33+J33+L33</f>
        <v>31600</v>
      </c>
      <c r="Y33" s="38">
        <v>0.005925</v>
      </c>
      <c r="Z33" s="43">
        <f>X33*Y33</f>
        <v>187.23</v>
      </c>
      <c r="AB33" s="1">
        <v>2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0.005925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0.005925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0.005925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0.005925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0.005925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0.005925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X40" s="1">
        <f>B40+D40+F40+H40+J40+L40</f>
        <v>0</v>
      </c>
      <c r="Y40" s="1">
        <v>0.005925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X41" s="1">
        <f>B41+D41+F41+H41+J41+L41</f>
        <v>0</v>
      </c>
      <c r="Y41" s="1">
        <v>0.005925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X42" s="1">
        <f>B42+D42+F42+H42+J42+L42</f>
        <v>0</v>
      </c>
      <c r="Y42" s="1">
        <v>0.005925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X43" s="1">
        <f>B43+D43+F43+H43+J43+L43</f>
        <v>0</v>
      </c>
      <c r="Y43" s="1">
        <v>0.005925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X44" s="1">
        <f>B44+D44+F44+H44+J44+L44</f>
        <v>0</v>
      </c>
      <c r="Y44" s="1">
        <v>0.005925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X45" s="1">
        <f>B45+D45+F45+H45+J45+L45</f>
        <v>0</v>
      </c>
      <c r="Y45" s="1">
        <v>0.005925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X46" s="1">
        <f>B46+D46+F46+H46+J46+L46</f>
        <v>0</v>
      </c>
      <c r="Y46" s="1">
        <v>0.005925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X47" s="1">
        <f>B47+D47+F47+H47+J47+L47</f>
        <v>0</v>
      </c>
      <c r="Y47" s="1">
        <v>0.005925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X48" s="1">
        <f>B48+D48+F48+H48+J48+L48</f>
        <v>0</v>
      </c>
      <c r="Y48" s="1">
        <v>0.005925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X49" s="1">
        <f>B49+D49+F49+H49+J49+L49</f>
        <v>0</v>
      </c>
      <c r="Y49" s="1">
        <v>0.005925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X1">
      <selection activeCell="AR29" sqref="AR29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3.28125" style="1" customWidth="1"/>
    <col min="13" max="13" width="0" style="1" hidden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8.1406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W1" s="1" t="s">
        <v>249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42370</v>
      </c>
      <c r="C2" s="1">
        <f>B2*Y2</f>
        <v>0</v>
      </c>
      <c r="D2" s="1">
        <v>750</v>
      </c>
      <c r="E2" s="1">
        <f>D2*Y2</f>
        <v>4.44375</v>
      </c>
      <c r="G2" s="1">
        <f>F2*Y2</f>
        <v>0</v>
      </c>
      <c r="I2" s="1">
        <f>H2*Y2</f>
        <v>0</v>
      </c>
      <c r="K2" s="1">
        <f>J2*Y2</f>
        <v>0</v>
      </c>
      <c r="L2" s="1">
        <v>8000</v>
      </c>
      <c r="M2" s="1">
        <f>L2*Y2</f>
        <v>47.4</v>
      </c>
      <c r="N2" s="37" t="s">
        <v>26</v>
      </c>
      <c r="O2" s="37"/>
      <c r="P2" s="37"/>
      <c r="Q2" s="37"/>
      <c r="R2" s="37"/>
      <c r="S2" s="37"/>
      <c r="T2" s="37"/>
      <c r="U2" s="37"/>
      <c r="V2" s="1">
        <v>5</v>
      </c>
      <c r="W2" s="1" t="s">
        <v>81</v>
      </c>
      <c r="X2" s="38">
        <f>B2+D2+F2+H2+J2+L2</f>
        <v>8750</v>
      </c>
      <c r="Y2" s="38">
        <v>0.005925</v>
      </c>
      <c r="Z2" s="43">
        <f>X2*Y2</f>
        <v>51.84375</v>
      </c>
      <c r="AB2" s="1">
        <v>2</v>
      </c>
      <c r="AD2" s="44" t="s">
        <v>28</v>
      </c>
      <c r="AE2" s="44">
        <f>SUM(Z2:Z995)</f>
        <v>1865.6268499999999</v>
      </c>
      <c r="AF2" s="44"/>
      <c r="AG2" s="44" t="s">
        <v>29</v>
      </c>
      <c r="AH2" s="58">
        <f>AE2/AE5</f>
        <v>60.181511290322575</v>
      </c>
      <c r="AJ2" s="44" t="s">
        <v>93</v>
      </c>
      <c r="AK2" s="44">
        <f>COUNTBLANK(L2:L41)-COUNTBLANK(A2:A41)</f>
        <v>17</v>
      </c>
      <c r="AL2" s="7"/>
      <c r="AM2" s="59" t="s">
        <v>31</v>
      </c>
      <c r="AN2" s="59">
        <f>SUMIF(AB2:AB45,"=1",Z2:Z45)</f>
        <v>1031.45</v>
      </c>
      <c r="AO2" s="7"/>
      <c r="AP2" s="59" t="s">
        <v>32</v>
      </c>
      <c r="AQ2" s="59">
        <f>SUMIF(AB2:AB45,"=2",Z2:Z45)</f>
        <v>834.17685</v>
      </c>
    </row>
    <row r="3" spans="1:43" ht="12.75">
      <c r="A3" s="5">
        <v>42371</v>
      </c>
      <c r="C3" s="1">
        <f>B3*Y3</f>
        <v>0</v>
      </c>
      <c r="D3" s="1">
        <v>1140</v>
      </c>
      <c r="E3" s="1">
        <f>D3*Y3</f>
        <v>6.754499999999999</v>
      </c>
      <c r="G3" s="1">
        <f>F3*Y3</f>
        <v>0</v>
      </c>
      <c r="I3" s="1">
        <f>H3*Y3</f>
        <v>0</v>
      </c>
      <c r="K3" s="1">
        <f>J3*Y3</f>
        <v>0</v>
      </c>
      <c r="L3" s="1">
        <v>8000</v>
      </c>
      <c r="M3" s="1">
        <f>L3*Y3</f>
        <v>47.4</v>
      </c>
      <c r="N3" s="37" t="s">
        <v>26</v>
      </c>
      <c r="O3" s="37"/>
      <c r="P3" s="37"/>
      <c r="Q3" s="37"/>
      <c r="R3" s="37"/>
      <c r="S3" s="37"/>
      <c r="T3" s="37"/>
      <c r="U3" s="37"/>
      <c r="W3" s="1" t="s">
        <v>82</v>
      </c>
      <c r="X3" s="38">
        <f>B3+D3+F3+H3+J3+L3</f>
        <v>9140</v>
      </c>
      <c r="Y3" s="38">
        <v>0.005925</v>
      </c>
      <c r="Z3" s="43">
        <f>X3*Y3</f>
        <v>54.1545</v>
      </c>
      <c r="AB3" s="1">
        <v>2</v>
      </c>
      <c r="AD3" s="49"/>
      <c r="AE3" s="44"/>
      <c r="AF3" s="44"/>
      <c r="AG3" s="49"/>
      <c r="AH3" s="45"/>
      <c r="AJ3" s="44" t="s">
        <v>95</v>
      </c>
      <c r="AK3" s="44">
        <f>COUNT(L2:L37)</f>
        <v>14</v>
      </c>
      <c r="AM3" s="59" t="s">
        <v>35</v>
      </c>
      <c r="AN3" s="59">
        <f>_xlfn.COUNTIFS(A2:A45,"&lt;&gt;''",AB2:AB45,"=1")</f>
        <v>17</v>
      </c>
      <c r="AO3" s="7"/>
      <c r="AP3" s="59" t="s">
        <v>36</v>
      </c>
      <c r="AQ3" s="59">
        <f>_xlfn.COUNTIFS(A2:A45,"&lt;&gt;''",AB2:AB45,"=2")</f>
        <v>14</v>
      </c>
    </row>
    <row r="4" spans="1:43" ht="12.75">
      <c r="A4" s="5">
        <v>42372</v>
      </c>
      <c r="C4" s="1">
        <f>B4*Y4</f>
        <v>0</v>
      </c>
      <c r="D4" s="1">
        <f>2020+1250</f>
        <v>3270</v>
      </c>
      <c r="E4" s="1">
        <f>D4*Y4</f>
        <v>19.37475</v>
      </c>
      <c r="G4" s="1">
        <f>F4*Y4</f>
        <v>0</v>
      </c>
      <c r="H4" s="1">
        <v>16000</v>
      </c>
      <c r="I4" s="1">
        <f>H4*Y4</f>
        <v>94.8</v>
      </c>
      <c r="K4" s="1">
        <f>J4*Y4</f>
        <v>0</v>
      </c>
      <c r="L4" s="1">
        <v>8000</v>
      </c>
      <c r="M4" s="1">
        <f>L4*Y4</f>
        <v>47.4</v>
      </c>
      <c r="N4" s="37" t="s">
        <v>26</v>
      </c>
      <c r="O4" s="37"/>
      <c r="P4" s="37"/>
      <c r="Q4" s="37"/>
      <c r="R4" s="37"/>
      <c r="S4" s="37"/>
      <c r="T4" s="37"/>
      <c r="U4" s="37"/>
      <c r="V4" s="1">
        <v>3</v>
      </c>
      <c r="W4" s="1" t="s">
        <v>83</v>
      </c>
      <c r="X4" s="38">
        <f>B4+D4+F4+H4+J4+L4</f>
        <v>27270</v>
      </c>
      <c r="Y4" s="38">
        <v>0.005925</v>
      </c>
      <c r="Z4" s="43">
        <f>X4*Y4</f>
        <v>161.57475</v>
      </c>
      <c r="AB4" s="1">
        <v>2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39</v>
      </c>
      <c r="AN4" s="59">
        <f>AN2/AN3</f>
        <v>60.67352941176471</v>
      </c>
      <c r="AO4" s="7"/>
      <c r="AP4" s="59" t="s">
        <v>40</v>
      </c>
      <c r="AQ4" s="59">
        <f>AQ2/AQ3</f>
        <v>59.58406071428571</v>
      </c>
    </row>
    <row r="5" spans="1:37" ht="12.75">
      <c r="A5" s="8"/>
      <c r="C5" s="1">
        <f>B5*Y5</f>
        <v>0</v>
      </c>
      <c r="D5" s="1">
        <v>1050</v>
      </c>
      <c r="E5" s="1">
        <f>D5*Y5</f>
        <v>6.2212499999999995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N5" s="37"/>
      <c r="O5" s="37"/>
      <c r="P5" s="37"/>
      <c r="Q5" s="37"/>
      <c r="R5" s="37"/>
      <c r="S5" s="37"/>
      <c r="T5" s="37"/>
      <c r="U5" s="37"/>
      <c r="W5" s="1" t="s">
        <v>84</v>
      </c>
      <c r="X5" s="38">
        <f>B5+D5+F5+H5+J5+L5</f>
        <v>1050</v>
      </c>
      <c r="Y5" s="38">
        <v>0.005925</v>
      </c>
      <c r="Z5" s="43">
        <f>X5*Y5</f>
        <v>6.2212499999999995</v>
      </c>
      <c r="AB5" s="1">
        <v>2</v>
      </c>
      <c r="AD5" s="44" t="s">
        <v>42</v>
      </c>
      <c r="AE5" s="44">
        <f>COUNTA(A2:A350)</f>
        <v>31</v>
      </c>
      <c r="AF5" s="44"/>
      <c r="AG5" s="44"/>
      <c r="AH5" s="44"/>
      <c r="AJ5" s="49" t="s">
        <v>264</v>
      </c>
      <c r="AK5" s="44">
        <f>COUNTA(N2:N50)</f>
        <v>21</v>
      </c>
    </row>
    <row r="6" spans="1:37" ht="12.75">
      <c r="A6" s="5">
        <v>42373</v>
      </c>
      <c r="C6" s="1">
        <f>B6*Y6</f>
        <v>0</v>
      </c>
      <c r="D6" s="1">
        <f>95+60+128+90</f>
        <v>373</v>
      </c>
      <c r="E6" s="1">
        <f>D6*Y6</f>
        <v>96.98</v>
      </c>
      <c r="G6" s="1">
        <f>F6*Y6</f>
        <v>0</v>
      </c>
      <c r="I6" s="1">
        <f>H6*Y6</f>
        <v>0</v>
      </c>
      <c r="K6" s="1">
        <f>J6*Y6</f>
        <v>0</v>
      </c>
      <c r="L6" s="1">
        <v>40</v>
      </c>
      <c r="M6" s="1">
        <f>L6*Y6</f>
        <v>10.4</v>
      </c>
      <c r="N6" s="37" t="s">
        <v>26</v>
      </c>
      <c r="O6" s="37"/>
      <c r="P6" s="37"/>
      <c r="Q6" s="37"/>
      <c r="R6" s="37"/>
      <c r="S6" s="37"/>
      <c r="T6" s="37"/>
      <c r="U6" s="37"/>
      <c r="V6" s="1">
        <v>3</v>
      </c>
      <c r="W6" s="1" t="s">
        <v>267</v>
      </c>
      <c r="X6" s="38">
        <f>B6+D6+F6+H6+J6+L6</f>
        <v>413</v>
      </c>
      <c r="Y6" s="38">
        <v>0.26</v>
      </c>
      <c r="Z6" s="43">
        <f>X6*Y6</f>
        <v>107.38000000000001</v>
      </c>
      <c r="AB6" s="1">
        <v>1</v>
      </c>
      <c r="AD6" s="49"/>
      <c r="AE6" s="44"/>
      <c r="AF6" s="44"/>
      <c r="AG6" s="44"/>
      <c r="AH6" s="44"/>
      <c r="AJ6" s="49" t="s">
        <v>265</v>
      </c>
      <c r="AK6" s="44">
        <f>COUNTA(P2:P50)</f>
        <v>1</v>
      </c>
    </row>
    <row r="7" spans="1:37" ht="12.75">
      <c r="A7" s="5">
        <v>42374</v>
      </c>
      <c r="C7" s="1">
        <f>B7*Y7</f>
        <v>0</v>
      </c>
      <c r="D7" s="1">
        <f>72+107+50</f>
        <v>229</v>
      </c>
      <c r="E7" s="1">
        <f>D7*Y7</f>
        <v>59.54</v>
      </c>
      <c r="G7" s="1">
        <f>F7*Y7</f>
        <v>0</v>
      </c>
      <c r="I7" s="1">
        <f>H7*Y7</f>
        <v>0</v>
      </c>
      <c r="K7" s="1">
        <f>J7*Y7</f>
        <v>0</v>
      </c>
      <c r="L7" s="1">
        <v>40</v>
      </c>
      <c r="M7" s="1">
        <f>L7*Y7</f>
        <v>10.4</v>
      </c>
      <c r="N7" s="37" t="s">
        <v>26</v>
      </c>
      <c r="O7" s="37"/>
      <c r="P7" s="37"/>
      <c r="Q7" s="37"/>
      <c r="R7" s="37"/>
      <c r="S7" s="37"/>
      <c r="T7" s="37"/>
      <c r="U7" s="37"/>
      <c r="W7" s="1" t="s">
        <v>267</v>
      </c>
      <c r="X7" s="38">
        <f>B7+D7+F7+H7+J7+L7</f>
        <v>269</v>
      </c>
      <c r="Y7" s="38">
        <v>0.26</v>
      </c>
      <c r="Z7" s="43">
        <f>X7*Y7</f>
        <v>69.94</v>
      </c>
      <c r="AB7" s="1">
        <v>1</v>
      </c>
      <c r="AD7" s="44"/>
      <c r="AE7" s="44"/>
      <c r="AF7" s="44"/>
      <c r="AG7" s="44"/>
      <c r="AH7" s="44"/>
      <c r="AJ7" s="44" t="s">
        <v>16</v>
      </c>
      <c r="AK7" s="44">
        <f>COUNTA(Q2:Q50)</f>
        <v>0</v>
      </c>
    </row>
    <row r="8" spans="1:37" ht="12.75">
      <c r="A8" s="5">
        <v>42375</v>
      </c>
      <c r="C8" s="1">
        <f>B8*Y8</f>
        <v>0</v>
      </c>
      <c r="D8" s="1">
        <f>38+8</f>
        <v>46</v>
      </c>
      <c r="E8" s="1">
        <f>D8*Y8</f>
        <v>11.96</v>
      </c>
      <c r="G8" s="1">
        <f>F8*Y8</f>
        <v>0</v>
      </c>
      <c r="H8" s="1">
        <v>240</v>
      </c>
      <c r="I8" s="1">
        <f>H8*Y8</f>
        <v>62.400000000000006</v>
      </c>
      <c r="K8" s="1">
        <f>J8*Y8</f>
        <v>0</v>
      </c>
      <c r="M8" s="1">
        <f>L8*Y8</f>
        <v>0</v>
      </c>
      <c r="N8" s="37"/>
      <c r="O8" s="37" t="s">
        <v>26</v>
      </c>
      <c r="P8" s="37"/>
      <c r="Q8" s="37"/>
      <c r="R8" s="37"/>
      <c r="S8" s="37"/>
      <c r="T8" s="37"/>
      <c r="U8" s="37"/>
      <c r="V8" s="1">
        <v>2</v>
      </c>
      <c r="W8" s="1" t="s">
        <v>268</v>
      </c>
      <c r="X8" s="38">
        <f>B8+D8+F8+H8+J8+L8</f>
        <v>286</v>
      </c>
      <c r="Y8" s="38">
        <v>0.26</v>
      </c>
      <c r="Z8" s="43">
        <f>X8*Y8</f>
        <v>74.36</v>
      </c>
      <c r="AB8" s="1">
        <v>1</v>
      </c>
      <c r="AD8" s="44" t="s">
        <v>48</v>
      </c>
      <c r="AE8" s="54">
        <f>SUM(M2:M995)</f>
        <v>656.8000000000001</v>
      </c>
      <c r="AF8" s="44"/>
      <c r="AG8" s="44" t="s">
        <v>224</v>
      </c>
      <c r="AH8" s="54">
        <f>AE8/$AE$5</f>
        <v>21.187096774193552</v>
      </c>
      <c r="AJ8" s="49" t="s">
        <v>269</v>
      </c>
      <c r="AK8" s="44">
        <f>COUNTA(O2:O50)</f>
        <v>5</v>
      </c>
    </row>
    <row r="9" spans="1:36" ht="12.75">
      <c r="A9" s="5">
        <v>42376</v>
      </c>
      <c r="C9" s="1">
        <f>B9*Y9</f>
        <v>0</v>
      </c>
      <c r="D9" s="1">
        <f>72+16</f>
        <v>88</v>
      </c>
      <c r="E9" s="1">
        <f>D9*Y9</f>
        <v>22.880000000000003</v>
      </c>
      <c r="F9" s="1">
        <v>30</v>
      </c>
      <c r="G9" s="1">
        <f>F9*Y9</f>
        <v>7.800000000000001</v>
      </c>
      <c r="I9" s="1">
        <f>H9*Y9</f>
        <v>0</v>
      </c>
      <c r="K9" s="1">
        <f>J9*Y9</f>
        <v>0</v>
      </c>
      <c r="L9" s="1">
        <v>50</v>
      </c>
      <c r="M9" s="1">
        <f>L9*Y9</f>
        <v>13</v>
      </c>
      <c r="N9" s="37" t="s">
        <v>26</v>
      </c>
      <c r="O9" s="37"/>
      <c r="P9" s="37"/>
      <c r="Q9" s="37"/>
      <c r="R9" s="37"/>
      <c r="S9" s="37"/>
      <c r="T9" s="37"/>
      <c r="U9" s="37"/>
      <c r="V9" s="1">
        <v>1</v>
      </c>
      <c r="W9" s="1" t="s">
        <v>270</v>
      </c>
      <c r="X9" s="38">
        <f>B9+D9+F9+H9+J9+L9</f>
        <v>168</v>
      </c>
      <c r="Y9" s="38">
        <v>0.26</v>
      </c>
      <c r="Z9" s="43">
        <f>X9*Y9</f>
        <v>43.68</v>
      </c>
      <c r="AB9" s="1">
        <v>1</v>
      </c>
      <c r="AD9" s="44" t="s">
        <v>50</v>
      </c>
      <c r="AE9" s="44">
        <f>SUM(C2:C995)</f>
        <v>0</v>
      </c>
      <c r="AF9" s="44"/>
      <c r="AG9" s="44" t="s">
        <v>227</v>
      </c>
      <c r="AH9" s="44">
        <f>AE9/$AE$5</f>
        <v>0</v>
      </c>
      <c r="AJ9" s="8"/>
    </row>
    <row r="10" spans="1:34" ht="12.75">
      <c r="A10" s="5">
        <v>42377</v>
      </c>
      <c r="C10" s="1">
        <f>B10*Y10</f>
        <v>0</v>
      </c>
      <c r="D10" s="1">
        <f>70+125</f>
        <v>195</v>
      </c>
      <c r="E10" s="1">
        <f>D10*Y10</f>
        <v>50.7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N10" s="37" t="s">
        <v>26</v>
      </c>
      <c r="O10" s="37"/>
      <c r="P10" s="37"/>
      <c r="Q10" s="37"/>
      <c r="R10" s="37"/>
      <c r="S10" s="37"/>
      <c r="T10" s="37"/>
      <c r="U10" s="37"/>
      <c r="W10" s="1" t="s">
        <v>270</v>
      </c>
      <c r="X10" s="38">
        <f>B10+D10+F10+H10+J10+L10</f>
        <v>195</v>
      </c>
      <c r="Y10" s="38">
        <v>0.26</v>
      </c>
      <c r="Z10" s="43">
        <f>X10*Y10</f>
        <v>50.7</v>
      </c>
      <c r="AB10" s="1">
        <v>1</v>
      </c>
      <c r="AD10" s="44" t="s">
        <v>51</v>
      </c>
      <c r="AE10" s="54">
        <f>SUM(E2:E995)</f>
        <v>790.0768499999999</v>
      </c>
      <c r="AF10" s="44"/>
      <c r="AG10" s="44" t="s">
        <v>228</v>
      </c>
      <c r="AH10" s="44">
        <f>AE10/$AE$5</f>
        <v>25.486349999999998</v>
      </c>
    </row>
    <row r="11" spans="1:34" ht="12.75">
      <c r="A11" s="5">
        <v>42378</v>
      </c>
      <c r="C11" s="1">
        <f>B11*Y11</f>
        <v>0</v>
      </c>
      <c r="D11" s="1">
        <v>170</v>
      </c>
      <c r="E11" s="1">
        <f>D11*Y11</f>
        <v>44.2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 t="s">
        <v>26</v>
      </c>
      <c r="O11" s="37"/>
      <c r="P11" s="37"/>
      <c r="Q11" s="37"/>
      <c r="R11" s="37"/>
      <c r="S11" s="37"/>
      <c r="T11" s="37"/>
      <c r="U11" s="37"/>
      <c r="V11" s="1">
        <v>1</v>
      </c>
      <c r="W11" s="1" t="s">
        <v>270</v>
      </c>
      <c r="X11" s="38">
        <f>B11+D11+F11+H11+J11+L11</f>
        <v>170</v>
      </c>
      <c r="Y11" s="38">
        <v>0.26</v>
      </c>
      <c r="Z11" s="43">
        <f>X11*Y11</f>
        <v>44.2</v>
      </c>
      <c r="AB11" s="1">
        <v>1</v>
      </c>
      <c r="AD11" s="44" t="s">
        <v>54</v>
      </c>
      <c r="AE11" s="54">
        <f>SUM(G2:G995)</f>
        <v>133.95000000000002</v>
      </c>
      <c r="AF11" s="44"/>
      <c r="AG11" s="44" t="s">
        <v>229</v>
      </c>
      <c r="AH11" s="54">
        <f>AE11/$AE$5</f>
        <v>4.320967741935484</v>
      </c>
    </row>
    <row r="12" spans="1:34" ht="12.75">
      <c r="A12" s="5">
        <v>42379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 t="s">
        <v>26</v>
      </c>
      <c r="P12" s="37"/>
      <c r="Q12" s="37"/>
      <c r="R12" s="37"/>
      <c r="S12" s="37"/>
      <c r="T12" s="37"/>
      <c r="U12" s="37"/>
      <c r="V12" s="1">
        <v>1</v>
      </c>
      <c r="W12" s="1" t="s">
        <v>271</v>
      </c>
      <c r="X12" s="38">
        <f>B12+D12+F12+H12+J12+L12</f>
        <v>0</v>
      </c>
      <c r="Y12" s="38">
        <v>0.29</v>
      </c>
      <c r="Z12" s="43">
        <f>X12*Y12</f>
        <v>0</v>
      </c>
      <c r="AB12" s="1">
        <v>1</v>
      </c>
      <c r="AD12" s="44" t="s">
        <v>57</v>
      </c>
      <c r="AE12" s="54">
        <f>SUM(K2:K995)</f>
        <v>11.6</v>
      </c>
      <c r="AF12" s="44"/>
      <c r="AG12" s="44" t="s">
        <v>231</v>
      </c>
      <c r="AH12" s="54">
        <f>AE12/$AE$5</f>
        <v>0.3741935483870968</v>
      </c>
    </row>
    <row r="13" spans="1:34" ht="12.75">
      <c r="A13" s="5">
        <v>42380</v>
      </c>
      <c r="C13" s="1">
        <f>B13*Y13</f>
        <v>0</v>
      </c>
      <c r="D13" s="1">
        <f>35</f>
        <v>35</v>
      </c>
      <c r="E13" s="1">
        <f>D13*Y13</f>
        <v>10.149999999999999</v>
      </c>
      <c r="F13" s="1">
        <f>85</f>
        <v>85</v>
      </c>
      <c r="G13" s="1">
        <f>F13*Y13</f>
        <v>24.65</v>
      </c>
      <c r="I13" s="1">
        <f>H13*Y13</f>
        <v>0</v>
      </c>
      <c r="K13" s="1">
        <f>J13*Y13</f>
        <v>0</v>
      </c>
      <c r="L13" s="1">
        <v>160</v>
      </c>
      <c r="M13" s="1">
        <f>L13*Y13</f>
        <v>46.4</v>
      </c>
      <c r="N13" s="37" t="s">
        <v>26</v>
      </c>
      <c r="O13" s="37"/>
      <c r="P13" s="37"/>
      <c r="Q13" s="37"/>
      <c r="R13" s="37"/>
      <c r="S13" s="37"/>
      <c r="T13" s="37"/>
      <c r="U13" s="37"/>
      <c r="V13" s="1">
        <v>1</v>
      </c>
      <c r="W13" s="1" t="s">
        <v>272</v>
      </c>
      <c r="X13" s="38">
        <f>B13+D13+F13+H13+J13+L13</f>
        <v>280</v>
      </c>
      <c r="Y13" s="38">
        <v>0.29</v>
      </c>
      <c r="Z13" s="43">
        <f>X13*Y13</f>
        <v>81.19999999999999</v>
      </c>
      <c r="AB13" s="1">
        <v>1</v>
      </c>
      <c r="AD13" s="44" t="s">
        <v>58</v>
      </c>
      <c r="AE13" s="44">
        <f>SUM(I2:I995)</f>
        <v>273.2</v>
      </c>
      <c r="AF13" s="44"/>
      <c r="AG13" s="44" t="s">
        <v>233</v>
      </c>
      <c r="AH13" s="54">
        <f>AE13/$AE$5</f>
        <v>8.812903225806451</v>
      </c>
    </row>
    <row r="14" spans="1:28" ht="12.75">
      <c r="A14" s="5">
        <v>42381</v>
      </c>
      <c r="C14" s="1">
        <f>B14*Y14</f>
        <v>0</v>
      </c>
      <c r="D14" s="1">
        <f>180+30+11+35</f>
        <v>256</v>
      </c>
      <c r="E14" s="1">
        <f>D14*Y14</f>
        <v>74.24</v>
      </c>
      <c r="G14" s="1">
        <f>F14*Y14</f>
        <v>0</v>
      </c>
      <c r="I14" s="1">
        <f>H14*Y14</f>
        <v>0</v>
      </c>
      <c r="J14" s="1">
        <v>40</v>
      </c>
      <c r="K14" s="1">
        <f>J14*Y14</f>
        <v>11.6</v>
      </c>
      <c r="L14" s="1">
        <v>160</v>
      </c>
      <c r="M14" s="1">
        <f>L14*Y14</f>
        <v>46.4</v>
      </c>
      <c r="N14" s="37" t="s">
        <v>26</v>
      </c>
      <c r="O14" s="37"/>
      <c r="P14" s="37"/>
      <c r="Q14" s="37"/>
      <c r="R14" s="37"/>
      <c r="S14" s="37"/>
      <c r="T14" s="37"/>
      <c r="U14" s="37"/>
      <c r="W14" s="1" t="s">
        <v>272</v>
      </c>
      <c r="X14" s="38">
        <f>B14+D14+F14+H14+J14+L14</f>
        <v>456</v>
      </c>
      <c r="Y14" s="38">
        <v>0.29</v>
      </c>
      <c r="Z14" s="43">
        <f>X14*Y14</f>
        <v>132.23999999999998</v>
      </c>
      <c r="AB14" s="1">
        <v>1</v>
      </c>
    </row>
    <row r="15" spans="1:31" ht="12.75">
      <c r="A15" s="5">
        <v>42382</v>
      </c>
      <c r="C15" s="1">
        <f>B15*Y15</f>
        <v>0</v>
      </c>
      <c r="E15" s="1">
        <f>D15*Y15</f>
        <v>0</v>
      </c>
      <c r="G15" s="1">
        <f>F15*Y15</f>
        <v>0</v>
      </c>
      <c r="I15" s="1">
        <f>H15*Y15</f>
        <v>0</v>
      </c>
      <c r="K15" s="1">
        <f>J15*Y15</f>
        <v>0</v>
      </c>
      <c r="M15" s="1">
        <f>L15*Y15</f>
        <v>0</v>
      </c>
      <c r="N15" s="37"/>
      <c r="O15" s="37" t="s">
        <v>26</v>
      </c>
      <c r="P15" s="37"/>
      <c r="Q15" s="37"/>
      <c r="R15" s="37"/>
      <c r="S15" s="37"/>
      <c r="T15" s="37"/>
      <c r="U15" s="37"/>
      <c r="W15" s="60" t="s">
        <v>273</v>
      </c>
      <c r="X15" s="38">
        <f>B15+D15+F15+H15+J15+L15</f>
        <v>0</v>
      </c>
      <c r="Y15" s="38">
        <v>0.29</v>
      </c>
      <c r="Z15" s="43">
        <f>X15*Y15</f>
        <v>0</v>
      </c>
      <c r="AB15" s="1">
        <v>1</v>
      </c>
      <c r="AD15" s="8"/>
      <c r="AE15" s="8"/>
    </row>
    <row r="16" spans="1:30" ht="12.75">
      <c r="A16" s="5">
        <v>42383</v>
      </c>
      <c r="C16" s="1">
        <f>B16*Y16</f>
        <v>0</v>
      </c>
      <c r="E16" s="1">
        <f>D16*Y16</f>
        <v>0</v>
      </c>
      <c r="G16" s="1">
        <f>F16*Y16</f>
        <v>0</v>
      </c>
      <c r="I16" s="1">
        <f>H16*Y16</f>
        <v>0</v>
      </c>
      <c r="K16" s="1">
        <f>J16*Y16</f>
        <v>0</v>
      </c>
      <c r="M16" s="1">
        <f>L16*Y16</f>
        <v>0</v>
      </c>
      <c r="N16" s="37"/>
      <c r="O16" s="37" t="s">
        <v>26</v>
      </c>
      <c r="P16" s="37"/>
      <c r="Q16" s="37"/>
      <c r="R16" s="37"/>
      <c r="S16" s="37"/>
      <c r="T16" s="37"/>
      <c r="U16" s="37"/>
      <c r="W16" s="1" t="s">
        <v>273</v>
      </c>
      <c r="X16" s="38">
        <f>B16+D16+F16+H16+J16+L16</f>
        <v>0</v>
      </c>
      <c r="Y16" s="38">
        <v>0.29</v>
      </c>
      <c r="Z16" s="43">
        <f>X16*Y16</f>
        <v>0</v>
      </c>
      <c r="AB16" s="1">
        <v>1</v>
      </c>
      <c r="AD16" s="8"/>
    </row>
    <row r="17" spans="1:28" ht="12.75">
      <c r="A17" s="5">
        <v>42384</v>
      </c>
      <c r="C17" s="1">
        <f>B17*Y17</f>
        <v>0</v>
      </c>
      <c r="E17" s="1">
        <f>D17*Y17</f>
        <v>0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N17" s="37"/>
      <c r="O17" s="37" t="s">
        <v>26</v>
      </c>
      <c r="P17" s="37"/>
      <c r="Q17" s="37"/>
      <c r="R17" s="37"/>
      <c r="S17" s="37"/>
      <c r="T17" s="37"/>
      <c r="U17" s="37"/>
      <c r="W17" s="1" t="s">
        <v>273</v>
      </c>
      <c r="X17" s="38">
        <f>B17+D17+F17+H17+J17+L17</f>
        <v>0</v>
      </c>
      <c r="Y17" s="38">
        <v>0.29</v>
      </c>
      <c r="Z17" s="43">
        <f>X17*Y17</f>
        <v>0</v>
      </c>
      <c r="AB17" s="1">
        <v>1</v>
      </c>
    </row>
    <row r="18" spans="1:28" ht="12.75">
      <c r="A18" s="5">
        <v>42385</v>
      </c>
      <c r="C18" s="1">
        <f>B18*Y18</f>
        <v>0</v>
      </c>
      <c r="D18" s="1">
        <f>30+65</f>
        <v>95</v>
      </c>
      <c r="E18" s="1">
        <f>D18*Y18</f>
        <v>27.549999999999997</v>
      </c>
      <c r="G18" s="1">
        <f>F18*Y18</f>
        <v>0</v>
      </c>
      <c r="I18" s="1">
        <f>H18*Y18</f>
        <v>0</v>
      </c>
      <c r="K18" s="1">
        <f>J18*Y18</f>
        <v>0</v>
      </c>
      <c r="L18" s="1">
        <v>160</v>
      </c>
      <c r="M18" s="1">
        <f>L18*Y18</f>
        <v>46.4</v>
      </c>
      <c r="N18" s="37" t="s">
        <v>26</v>
      </c>
      <c r="O18" s="37"/>
      <c r="P18" s="37"/>
      <c r="Q18" s="37"/>
      <c r="R18" s="37"/>
      <c r="S18" s="37"/>
      <c r="T18" s="37"/>
      <c r="U18" s="37"/>
      <c r="W18" s="1" t="s">
        <v>272</v>
      </c>
      <c r="X18" s="38">
        <f>B18+D18+F18+H18+J18+L18</f>
        <v>255</v>
      </c>
      <c r="Y18" s="38">
        <v>0.29</v>
      </c>
      <c r="Z18" s="43">
        <f>X18*Y18</f>
        <v>73.94999999999999</v>
      </c>
      <c r="AB18" s="1">
        <v>1</v>
      </c>
    </row>
    <row r="19" spans="1:28" ht="12.75">
      <c r="A19" s="5">
        <v>42386</v>
      </c>
      <c r="C19" s="1">
        <f>B19*Y19</f>
        <v>0</v>
      </c>
      <c r="D19" s="1">
        <f>10</f>
        <v>10</v>
      </c>
      <c r="E19" s="1">
        <f>D19*Y19</f>
        <v>2.9</v>
      </c>
      <c r="F19" s="1">
        <v>350</v>
      </c>
      <c r="G19" s="1">
        <f>F19*Y19</f>
        <v>101.5</v>
      </c>
      <c r="H19" s="1">
        <v>400</v>
      </c>
      <c r="I19" s="1">
        <f>H19*Y19</f>
        <v>115.99999999999999</v>
      </c>
      <c r="K19" s="1">
        <f>J19*Y19</f>
        <v>0</v>
      </c>
      <c r="M19" s="1">
        <f>L19*Y19</f>
        <v>0</v>
      </c>
      <c r="N19" s="37"/>
      <c r="O19" s="37"/>
      <c r="P19" s="37"/>
      <c r="Q19" s="37"/>
      <c r="R19" s="37" t="s">
        <v>26</v>
      </c>
      <c r="S19" s="37"/>
      <c r="T19" s="37"/>
      <c r="U19" s="37"/>
      <c r="V19" s="1">
        <v>1</v>
      </c>
      <c r="W19" s="1" t="s">
        <v>274</v>
      </c>
      <c r="X19" s="38">
        <f>B19+D19+F19+H19+J19+L19</f>
        <v>760</v>
      </c>
      <c r="Y19" s="38">
        <v>0.29</v>
      </c>
      <c r="Z19" s="43">
        <f>X19*Y19</f>
        <v>220.39999999999998</v>
      </c>
      <c r="AB19" s="1">
        <v>1</v>
      </c>
    </row>
    <row r="20" spans="1:28" ht="12.75">
      <c r="A20" s="5">
        <v>42387</v>
      </c>
      <c r="C20" s="1">
        <f>B20*Y20</f>
        <v>0</v>
      </c>
      <c r="D20" s="1">
        <f>133+25</f>
        <v>158</v>
      </c>
      <c r="E20" s="1">
        <f>D20*Y20</f>
        <v>45.82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/>
      <c r="Q20" s="37"/>
      <c r="R20" s="37" t="s">
        <v>26</v>
      </c>
      <c r="S20" s="37"/>
      <c r="T20" s="37"/>
      <c r="U20" s="37"/>
      <c r="W20" s="1" t="s">
        <v>275</v>
      </c>
      <c r="X20" s="38">
        <f>B20+D20+F20+H20+J20+L20</f>
        <v>158</v>
      </c>
      <c r="Y20" s="38">
        <v>0.29</v>
      </c>
      <c r="Z20" s="43">
        <f>X20*Y20</f>
        <v>45.82</v>
      </c>
      <c r="AB20" s="1">
        <v>1</v>
      </c>
    </row>
    <row r="21" spans="1:28" ht="12.75">
      <c r="A21" s="5">
        <v>42388</v>
      </c>
      <c r="C21" s="1">
        <f>B21*Y21</f>
        <v>0</v>
      </c>
      <c r="D21" s="1">
        <f>167+43+22</f>
        <v>232</v>
      </c>
      <c r="E21" s="1">
        <f>D21*Y21</f>
        <v>67.28</v>
      </c>
      <c r="G21" s="1">
        <f>F21*Y21</f>
        <v>0</v>
      </c>
      <c r="I21" s="1">
        <f>H21*Y21</f>
        <v>0</v>
      </c>
      <c r="K21" s="1">
        <f>J21*Y21</f>
        <v>0</v>
      </c>
      <c r="M21" s="1">
        <f>L21*Y21</f>
        <v>0</v>
      </c>
      <c r="N21" s="37"/>
      <c r="O21" s="37"/>
      <c r="P21" s="37"/>
      <c r="Q21" s="37"/>
      <c r="R21" s="37" t="s">
        <v>26</v>
      </c>
      <c r="S21" s="37"/>
      <c r="T21" s="37"/>
      <c r="U21" s="37"/>
      <c r="W21" s="1" t="s">
        <v>275</v>
      </c>
      <c r="X21" s="38">
        <f>B21+D21+F21+H21+J21+L21</f>
        <v>232</v>
      </c>
      <c r="Y21" s="38">
        <v>0.29</v>
      </c>
      <c r="Z21" s="43">
        <f>X21*Y21</f>
        <v>67.28</v>
      </c>
      <c r="AB21" s="1">
        <v>1</v>
      </c>
    </row>
    <row r="22" spans="1:28" ht="12.75">
      <c r="A22" s="5">
        <v>42389</v>
      </c>
      <c r="C22" s="1">
        <f>B22*Y22</f>
        <v>0</v>
      </c>
      <c r="D22" s="1">
        <v>70</v>
      </c>
      <c r="E22" s="1">
        <f>D22*Y22</f>
        <v>20.299999999999997</v>
      </c>
      <c r="G22" s="1">
        <f>F22*Y22</f>
        <v>0</v>
      </c>
      <c r="I22" s="1">
        <f>H22*Y22</f>
        <v>0</v>
      </c>
      <c r="K22" s="1">
        <f>J22*Y22</f>
        <v>0</v>
      </c>
      <c r="M22" s="1">
        <f>L22*Y22</f>
        <v>0</v>
      </c>
      <c r="N22" s="37"/>
      <c r="O22" s="37"/>
      <c r="P22" s="37"/>
      <c r="Q22" s="37"/>
      <c r="R22" s="37" t="s">
        <v>26</v>
      </c>
      <c r="S22" s="37"/>
      <c r="T22" s="37"/>
      <c r="U22" s="37"/>
      <c r="W22" s="1" t="s">
        <v>275</v>
      </c>
      <c r="X22" s="38">
        <f>B22+D22+F22+H22+J22+L22</f>
        <v>70</v>
      </c>
      <c r="Y22" s="38">
        <v>0.29</v>
      </c>
      <c r="Z22" s="43">
        <f>X22*Y22</f>
        <v>20.299999999999997</v>
      </c>
      <c r="AB22" s="1">
        <v>1</v>
      </c>
    </row>
    <row r="23" spans="1:28" ht="12.75">
      <c r="A23" s="5">
        <v>42390</v>
      </c>
      <c r="C23" s="1">
        <f>B23*Y23</f>
        <v>0</v>
      </c>
      <c r="E23" s="1">
        <f>D23*Y23</f>
        <v>0</v>
      </c>
      <c r="G23" s="1">
        <f>F23*Y23</f>
        <v>0</v>
      </c>
      <c r="I23" s="1">
        <f>H23*Y23</f>
        <v>0</v>
      </c>
      <c r="K23" s="1">
        <f>J23*Y23</f>
        <v>0</v>
      </c>
      <c r="L23" s="1">
        <v>20000</v>
      </c>
      <c r="M23" s="1">
        <f>L23*Y23</f>
        <v>122.00000000000001</v>
      </c>
      <c r="N23" s="37"/>
      <c r="O23" s="37"/>
      <c r="P23" s="37" t="s">
        <v>26</v>
      </c>
      <c r="Q23" s="37"/>
      <c r="R23" s="37"/>
      <c r="S23" s="37"/>
      <c r="T23" s="37"/>
      <c r="U23" s="37"/>
      <c r="V23" s="1">
        <v>2</v>
      </c>
      <c r="W23" s="1" t="s">
        <v>79</v>
      </c>
      <c r="X23" s="38">
        <f>B23+D23+F23+H23+J23+L23</f>
        <v>20000</v>
      </c>
      <c r="Y23" s="38">
        <v>0.0061</v>
      </c>
      <c r="Z23" s="43">
        <f>X23*Y23</f>
        <v>122.00000000000001</v>
      </c>
      <c r="AB23" s="1">
        <v>2</v>
      </c>
    </row>
    <row r="24" spans="1:28" ht="12.75">
      <c r="A24" s="5">
        <v>42391</v>
      </c>
      <c r="C24" s="1">
        <f>B24*Y24</f>
        <v>0</v>
      </c>
      <c r="D24" s="1">
        <f>4466+900</f>
        <v>5366</v>
      </c>
      <c r="E24" s="1">
        <f>D24*Y24</f>
        <v>32.732600000000005</v>
      </c>
      <c r="G24" s="1">
        <f>F24*Y24</f>
        <v>0</v>
      </c>
      <c r="I24" s="1">
        <f>H24*Y24</f>
        <v>0</v>
      </c>
      <c r="K24" s="1">
        <f>J24*Y24</f>
        <v>0</v>
      </c>
      <c r="L24" s="1">
        <v>10000</v>
      </c>
      <c r="M24" s="1">
        <f>L24*Y24</f>
        <v>61.00000000000001</v>
      </c>
      <c r="N24" s="37" t="s">
        <v>26</v>
      </c>
      <c r="O24" s="37"/>
      <c r="P24" s="37"/>
      <c r="Q24" s="37"/>
      <c r="R24" s="37"/>
      <c r="S24" s="37"/>
      <c r="T24" s="37"/>
      <c r="U24" s="37"/>
      <c r="W24" s="1" t="s">
        <v>75</v>
      </c>
      <c r="X24" s="38">
        <f>B24+D24+F24+H24+J24+L24</f>
        <v>15366</v>
      </c>
      <c r="Y24" s="38">
        <v>0.0061</v>
      </c>
      <c r="Z24" s="43">
        <f>X24*Y24</f>
        <v>93.7326</v>
      </c>
      <c r="AB24" s="1">
        <v>2</v>
      </c>
    </row>
    <row r="25" spans="1:28" ht="12.75">
      <c r="A25" s="5">
        <v>42392</v>
      </c>
      <c r="C25" s="1">
        <f>B25*Y25</f>
        <v>0</v>
      </c>
      <c r="D25" s="1">
        <f>3900+2990+5135+3950+11436+1139</f>
        <v>28550</v>
      </c>
      <c r="E25" s="1">
        <f>D25*Y25</f>
        <v>174.155</v>
      </c>
      <c r="G25" s="1">
        <f>F25*Y25</f>
        <v>0</v>
      </c>
      <c r="I25" s="1">
        <f>H25*Y25</f>
        <v>0</v>
      </c>
      <c r="K25" s="1">
        <f>J25*Y25</f>
        <v>0</v>
      </c>
      <c r="L25" s="1">
        <v>10000</v>
      </c>
      <c r="M25" s="1">
        <f>L25*Y25</f>
        <v>61.00000000000001</v>
      </c>
      <c r="N25" s="37" t="s">
        <v>26</v>
      </c>
      <c r="O25" s="37"/>
      <c r="P25" s="37"/>
      <c r="Q25" s="37"/>
      <c r="R25" s="37"/>
      <c r="S25" s="37"/>
      <c r="T25" s="37"/>
      <c r="U25" s="37"/>
      <c r="W25" s="1" t="s">
        <v>75</v>
      </c>
      <c r="X25" s="38">
        <f>B25+D25+F25+H25+J25+L25</f>
        <v>38550</v>
      </c>
      <c r="Y25" s="38">
        <v>0.0061</v>
      </c>
      <c r="Z25" s="43">
        <f>X25*Y25</f>
        <v>235.155</v>
      </c>
      <c r="AB25" s="1">
        <v>2</v>
      </c>
    </row>
    <row r="26" spans="1:28" ht="12.75">
      <c r="A26" s="5">
        <v>42393</v>
      </c>
      <c r="C26" s="1">
        <f>B26*Y26</f>
        <v>0</v>
      </c>
      <c r="D26" s="1">
        <v>1950</v>
      </c>
      <c r="E26" s="1">
        <f>D26*Y26</f>
        <v>11.895000000000001</v>
      </c>
      <c r="G26" s="1">
        <f>F26*Y26</f>
        <v>0</v>
      </c>
      <c r="I26" s="1">
        <f>H26*Y26</f>
        <v>0</v>
      </c>
      <c r="K26" s="1">
        <f>J26*Y26</f>
        <v>0</v>
      </c>
      <c r="L26" s="1">
        <v>10000</v>
      </c>
      <c r="M26" s="1">
        <f>L26*Y26</f>
        <v>61.00000000000001</v>
      </c>
      <c r="N26" s="37" t="s">
        <v>26</v>
      </c>
      <c r="O26" s="37"/>
      <c r="P26" s="37"/>
      <c r="Q26" s="37"/>
      <c r="R26" s="37"/>
      <c r="S26" s="37"/>
      <c r="T26" s="37"/>
      <c r="U26" s="37"/>
      <c r="W26" s="1" t="s">
        <v>75</v>
      </c>
      <c r="X26" s="38">
        <f>B26+D26+F26+H26+J26+L26</f>
        <v>11950</v>
      </c>
      <c r="Y26" s="38">
        <v>0.0061</v>
      </c>
      <c r="Z26" s="43">
        <f>X26*Y26</f>
        <v>72.89500000000001</v>
      </c>
      <c r="AB26" s="1">
        <v>2</v>
      </c>
    </row>
    <row r="27" spans="1:28" ht="12.75">
      <c r="A27" s="5">
        <v>42394</v>
      </c>
      <c r="C27" s="1">
        <f>B27*Y27</f>
        <v>0</v>
      </c>
      <c r="E27" s="1">
        <f>D27*Y27</f>
        <v>0</v>
      </c>
      <c r="G27" s="1">
        <f>F27*Y27</f>
        <v>0</v>
      </c>
      <c r="I27" s="1">
        <f>H27*Y27</f>
        <v>0</v>
      </c>
      <c r="K27" s="1">
        <f>J27*Y27</f>
        <v>0</v>
      </c>
      <c r="M27" s="1">
        <f>L27*Y27</f>
        <v>0</v>
      </c>
      <c r="N27" s="37" t="s">
        <v>26</v>
      </c>
      <c r="O27" s="37"/>
      <c r="P27" s="37"/>
      <c r="Q27" s="37"/>
      <c r="R27" s="37"/>
      <c r="S27" s="37"/>
      <c r="T27" s="37"/>
      <c r="U27" s="37"/>
      <c r="V27" s="1">
        <v>1</v>
      </c>
      <c r="W27" s="1" t="s">
        <v>80</v>
      </c>
      <c r="X27" s="38">
        <f>B27+D27+F27+H27+J27+L27</f>
        <v>0</v>
      </c>
      <c r="Y27" s="38">
        <v>0.0061</v>
      </c>
      <c r="Z27" s="43">
        <f>X27*Y27</f>
        <v>0</v>
      </c>
      <c r="AB27" s="1">
        <v>2</v>
      </c>
    </row>
    <row r="28" spans="1:28" ht="12.75">
      <c r="A28" s="5">
        <v>42395</v>
      </c>
      <c r="C28" s="1">
        <f>B28*Y28</f>
        <v>0</v>
      </c>
      <c r="E28" s="1">
        <f>D28*Y28</f>
        <v>0</v>
      </c>
      <c r="G28" s="1">
        <f>F28*Y28</f>
        <v>0</v>
      </c>
      <c r="I28" s="1">
        <f>H28*Y28</f>
        <v>0</v>
      </c>
      <c r="K28" s="1">
        <f>J28*Y28</f>
        <v>0</v>
      </c>
      <c r="M28" s="1">
        <f>L28*Y28</f>
        <v>0</v>
      </c>
      <c r="N28" s="37" t="s">
        <v>26</v>
      </c>
      <c r="O28" s="37"/>
      <c r="P28" s="37"/>
      <c r="Q28" s="37"/>
      <c r="R28" s="37"/>
      <c r="S28" s="37"/>
      <c r="T28" s="37"/>
      <c r="U28" s="37"/>
      <c r="W28" s="1" t="s">
        <v>80</v>
      </c>
      <c r="X28" s="38">
        <f>B28+D28+F28+H28+J28+L28</f>
        <v>0</v>
      </c>
      <c r="Y28" s="38">
        <v>0.0061</v>
      </c>
      <c r="Z28" s="43">
        <f>X28*Y28</f>
        <v>0</v>
      </c>
      <c r="AB28" s="1">
        <v>2</v>
      </c>
    </row>
    <row r="29" spans="1:28" ht="12.75">
      <c r="A29" s="5">
        <v>42396</v>
      </c>
      <c r="C29" s="1">
        <f>B29*Y29</f>
        <v>0</v>
      </c>
      <c r="E29" s="1">
        <f>D29*Y29</f>
        <v>0</v>
      </c>
      <c r="G29" s="1">
        <f>F29*Y29</f>
        <v>0</v>
      </c>
      <c r="I29" s="1">
        <f>H29*Y29</f>
        <v>0</v>
      </c>
      <c r="K29" s="1">
        <f>J29*Y29</f>
        <v>0</v>
      </c>
      <c r="M29" s="1">
        <f>L29*Y29</f>
        <v>0</v>
      </c>
      <c r="N29" s="37" t="s">
        <v>26</v>
      </c>
      <c r="O29" s="37"/>
      <c r="P29" s="37"/>
      <c r="Q29" s="37"/>
      <c r="R29" s="37"/>
      <c r="S29" s="37"/>
      <c r="T29" s="37"/>
      <c r="U29" s="37"/>
      <c r="W29" s="1" t="s">
        <v>80</v>
      </c>
      <c r="X29" s="38">
        <f>B29+D29+F29+H29+J29+L29</f>
        <v>0</v>
      </c>
      <c r="Y29" s="38">
        <v>0.0061</v>
      </c>
      <c r="Z29" s="43">
        <f>X29*Y29</f>
        <v>0</v>
      </c>
      <c r="AB29" s="1">
        <v>2</v>
      </c>
    </row>
    <row r="30" spans="1:28" ht="12.75">
      <c r="A30" s="5">
        <v>42397</v>
      </c>
      <c r="C30" s="1">
        <f>B30*Y30</f>
        <v>0</v>
      </c>
      <c r="E30" s="1">
        <f>D30*Y30</f>
        <v>0</v>
      </c>
      <c r="G30" s="1">
        <f>F30*Y30</f>
        <v>0</v>
      </c>
      <c r="I30" s="1">
        <f>H30*Y30</f>
        <v>0</v>
      </c>
      <c r="K30" s="1">
        <f>J30*Y30</f>
        <v>0</v>
      </c>
      <c r="M30" s="1">
        <f>L30*Y30</f>
        <v>0</v>
      </c>
      <c r="N30" s="37" t="s">
        <v>26</v>
      </c>
      <c r="O30" s="37"/>
      <c r="P30" s="37"/>
      <c r="Q30" s="37"/>
      <c r="R30" s="37"/>
      <c r="S30" s="37"/>
      <c r="T30" s="37"/>
      <c r="U30" s="37"/>
      <c r="W30" s="1" t="s">
        <v>80</v>
      </c>
      <c r="X30" s="38">
        <f>B30+D30+F30+H30+J30+L30</f>
        <v>0</v>
      </c>
      <c r="Y30" s="38">
        <v>0.0061</v>
      </c>
      <c r="Z30" s="43">
        <f>X30*Y30</f>
        <v>0</v>
      </c>
      <c r="AB30" s="1">
        <v>2</v>
      </c>
    </row>
    <row r="31" spans="1:28" ht="12.75">
      <c r="A31" s="5">
        <v>42398</v>
      </c>
      <c r="C31" s="1">
        <f>B31*Y31</f>
        <v>0</v>
      </c>
      <c r="E31" s="1">
        <f>D31*Y31</f>
        <v>0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N31" s="37" t="s">
        <v>26</v>
      </c>
      <c r="O31" s="37"/>
      <c r="P31" s="37"/>
      <c r="Q31" s="37"/>
      <c r="R31" s="37"/>
      <c r="S31" s="37"/>
      <c r="T31" s="37"/>
      <c r="U31" s="37"/>
      <c r="W31" s="1" t="s">
        <v>80</v>
      </c>
      <c r="X31" s="38">
        <f>B31+D31+F31+H31+J31+L31</f>
        <v>0</v>
      </c>
      <c r="Y31" s="38">
        <v>0.0061</v>
      </c>
      <c r="Z31" s="43">
        <f>X31*Y31</f>
        <v>0</v>
      </c>
      <c r="AB31" s="1">
        <v>2</v>
      </c>
    </row>
    <row r="32" spans="1:28" ht="12.75">
      <c r="A32" s="5">
        <v>42399</v>
      </c>
      <c r="C32" s="1">
        <f>B32*Y32</f>
        <v>0</v>
      </c>
      <c r="E32" s="1">
        <f>D32*Y32</f>
        <v>0</v>
      </c>
      <c r="G32" s="1">
        <f>F32*Y32</f>
        <v>0</v>
      </c>
      <c r="I32" s="1">
        <f>H32*Y32</f>
        <v>0</v>
      </c>
      <c r="K32" s="1">
        <f>J32*Y32</f>
        <v>0</v>
      </c>
      <c r="L32" s="1">
        <v>6000</v>
      </c>
      <c r="M32" s="1">
        <f>L32*Y32</f>
        <v>36.6</v>
      </c>
      <c r="N32" s="37" t="s">
        <v>26</v>
      </c>
      <c r="O32" s="37"/>
      <c r="P32" s="37"/>
      <c r="Q32" s="37"/>
      <c r="R32" s="37"/>
      <c r="S32" s="37"/>
      <c r="T32" s="37"/>
      <c r="U32" s="37"/>
      <c r="W32" s="1" t="s">
        <v>80</v>
      </c>
      <c r="X32" s="38">
        <f>B32+D32+F32+H32+J32+L32</f>
        <v>6000</v>
      </c>
      <c r="Y32" s="38">
        <v>0.0061</v>
      </c>
      <c r="Z32" s="43">
        <f>X32*Y32</f>
        <v>36.6</v>
      </c>
      <c r="AB32" s="1">
        <v>2</v>
      </c>
    </row>
    <row r="33" spans="1:28" ht="12.75">
      <c r="A33" s="5">
        <v>42400</v>
      </c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N33" s="37" t="s">
        <v>26</v>
      </c>
      <c r="O33" s="37"/>
      <c r="P33" s="37"/>
      <c r="Q33" s="37"/>
      <c r="R33" s="37"/>
      <c r="S33" s="37"/>
      <c r="T33" s="37"/>
      <c r="U33" s="37"/>
      <c r="W33" s="1" t="s">
        <v>80</v>
      </c>
      <c r="X33" s="38">
        <f>B33+D33+F33+H33+J33+L33</f>
        <v>0</v>
      </c>
      <c r="Y33" s="38">
        <v>0.0061</v>
      </c>
      <c r="Z33" s="43">
        <f>X33*Y33</f>
        <v>0</v>
      </c>
      <c r="AB33" s="1">
        <v>2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0.0061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0.0061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0.0061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0.0061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0.0061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0.0061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X40" s="1">
        <f>B40+D40+F40+H40+J40+L40</f>
        <v>0</v>
      </c>
      <c r="Y40" s="1">
        <v>0.0061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X41" s="1">
        <f>B41+D41+F41+H41+J41+L41</f>
        <v>0</v>
      </c>
      <c r="Y41" s="1">
        <v>0.0061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X42" s="1">
        <f>B42+D42+F42+H42+J42+L42</f>
        <v>0</v>
      </c>
      <c r="Y42" s="1">
        <v>0.0061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X43" s="1">
        <f>B43+D43+F43+H43+J43+L43</f>
        <v>0</v>
      </c>
      <c r="Y43" s="1">
        <v>0.0061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X44" s="1">
        <f>B44+D44+F44+H44+J44+L44</f>
        <v>0</v>
      </c>
      <c r="Y44" s="1">
        <v>0.0061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X45" s="1">
        <f>B45+D45+F45+H45+J45+L45</f>
        <v>0</v>
      </c>
      <c r="Y45" s="1">
        <v>0.0061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2009-04-16T04:32:48Z</dcterms:created>
  <dcterms:modified xsi:type="dcterms:W3CDTF">2017-01-20T10:58:55Z</dcterms:modified>
  <cp:category/>
  <cp:version/>
  <cp:contentType/>
  <cp:contentStatus/>
  <cp:revision>751</cp:revision>
</cp:coreProperties>
</file>