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0"/>
  </bookViews>
  <sheets>
    <sheet name="Ganhos" sheetId="1" r:id="rId1"/>
    <sheet name="Geral" sheetId="2" r:id="rId2"/>
    <sheet name="Jan_2018" sheetId="3" r:id="rId3"/>
    <sheet name="Fev_2018" sheetId="4" r:id="rId4"/>
    <sheet name="Mar 2018" sheetId="5" r:id="rId5"/>
    <sheet name="Abr 2018" sheetId="6" r:id="rId6"/>
    <sheet name="Mai 2018" sheetId="7" r:id="rId7"/>
    <sheet name="Jun 2018" sheetId="8" r:id="rId8"/>
    <sheet name="Jul 2018" sheetId="9" r:id="rId9"/>
    <sheet name="Ago 2018" sheetId="10" r:id="rId10"/>
    <sheet name="Sep 2018" sheetId="11" r:id="rId11"/>
    <sheet name="Out_2018" sheetId="12" r:id="rId12"/>
    <sheet name="Nov_2018" sheetId="13" r:id="rId1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1"/>
            <color indexed="8"/>
            <rFont val="Arial"/>
            <family val="2"/>
          </rPr>
          <t>1 – genérico
2 – venda de fotos
3 – blog
4 – airbnb
5 – livro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6" authorId="0">
      <text>
        <r>
          <rPr>
            <sz val="11"/>
            <color indexed="8"/>
            <rFont val="Arial"/>
            <family val="2"/>
          </rPr>
          <t>Ônibus até a estação de trem;
Trem para Ayuthaya
Barco para cruzar o rio em Ayuthaya</t>
        </r>
      </text>
    </comment>
    <comment ref="H9" authorId="0">
      <text>
        <r>
          <rPr>
            <sz val="11"/>
            <color indexed="8"/>
            <rFont val="Arial"/>
            <family val="2"/>
          </rPr>
          <t>Duas entradas para umas ruínas</t>
        </r>
      </text>
    </comment>
    <comment ref="B12" authorId="0">
      <text>
        <r>
          <rPr>
            <sz val="11"/>
            <color indexed="8"/>
            <rFont val="Arial"/>
            <family val="2"/>
          </rPr>
          <t>Trem para Bangkok e passagem de barco dentro de Ayutthaya</t>
        </r>
      </text>
    </comment>
    <comment ref="B13" authorId="0">
      <text>
        <r>
          <rPr>
            <sz val="11"/>
            <color indexed="8"/>
            <rFont val="Arial"/>
            <family val="2"/>
          </rPr>
          <t>Passagem de trem para Chumphom. Quase 9 horas de viagem. 
Tinha outro trem por 89 baths, mas já estava lotado</t>
        </r>
      </text>
    </comment>
    <comment ref="B14" authorId="0">
      <text>
        <r>
          <rPr>
            <sz val="11"/>
            <color indexed="8"/>
            <rFont val="Arial"/>
            <family val="2"/>
          </rPr>
          <t>=Compramos duas passagens de barco para a ilha de Koh Tao
Tinha uma de 500 baht, mas não saiu hoje. Acabamos tendo que comprar o barco de 700 porque já tínhamos reservado hotel</t>
        </r>
      </text>
    </comment>
    <comment ref="J14" authorId="0">
      <text>
        <r>
          <rPr>
            <sz val="11"/>
            <color indexed="8"/>
            <rFont val="Arial"/>
            <family val="2"/>
          </rPr>
          <t>Anticoncepcionais</t>
        </r>
      </text>
    </comment>
    <comment ref="B16" authorId="0">
      <text>
        <r>
          <rPr>
            <sz val="11"/>
            <color indexed="8"/>
            <rFont val="Arial"/>
            <family val="2"/>
          </rPr>
          <t>Duas passagens de barco para Ko Panangan</t>
        </r>
      </text>
    </comment>
    <comment ref="J20" authorId="0">
      <text>
        <r>
          <rPr>
            <sz val="11"/>
            <color indexed="8"/>
            <rFont val="Arial"/>
            <family val="2"/>
          </rPr>
          <t>Fomos roubados dentro do hotel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barco para amanhã de volta ao continente</t>
        </r>
      </text>
    </comment>
    <comment ref="B24" authorId="0">
      <text>
        <r>
          <rPr>
            <sz val="11"/>
            <color indexed="8"/>
            <rFont val="Arial"/>
            <family val="2"/>
          </rPr>
          <t>Passagens de trem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 xml:space="preserve">Transporte do nosso airbnb de/para a estação de trem + passagem de trem para Pitsanulok
</t>
        </r>
      </text>
    </comment>
    <comment ref="P6" authorId="0">
      <text>
        <r>
          <rPr>
            <sz val="11"/>
            <color indexed="8"/>
            <rFont val="Arial"/>
            <family val="2"/>
          </rPr>
          <t>Visto para Myanmar – 50 dólares por pessoa, por 28 dias</t>
        </r>
      </text>
    </comment>
    <comment ref="B11" authorId="0">
      <text>
        <r>
          <rPr>
            <sz val="11"/>
            <color indexed="8"/>
            <rFont val="Arial"/>
            <family val="2"/>
          </rPr>
          <t xml:space="preserve">60 – moto táxi até o terminal de ônibus
50 – passagens de ônibus para Sukhothai
</t>
        </r>
      </text>
    </comment>
    <comment ref="J11" authorId="0">
      <text>
        <r>
          <rPr>
            <sz val="11"/>
            <color indexed="8"/>
            <rFont val="Arial"/>
            <family val="2"/>
          </rPr>
          <t>Recarregando a garrafa de água na rua (1 baht o litro)</t>
        </r>
      </text>
    </comment>
    <comment ref="J12" authorId="0">
      <text>
        <r>
          <rPr>
            <sz val="11"/>
            <color indexed="8"/>
            <rFont val="Arial"/>
            <family val="2"/>
          </rPr>
          <t>-Agua</t>
        </r>
      </text>
    </comment>
    <comment ref="B13" authorId="0">
      <text>
        <r>
          <rPr>
            <sz val="11"/>
            <color indexed="8"/>
            <rFont val="Arial"/>
            <family val="2"/>
          </rPr>
          <t>-onibus para ir e voltar das ruínas</t>
        </r>
      </text>
    </comment>
    <comment ref="B17" authorId="0">
      <text>
        <r>
          <rPr>
            <sz val="11"/>
            <color indexed="8"/>
            <rFont val="Arial"/>
            <family val="2"/>
          </rPr>
          <t>Ônibus até a fronteira</t>
        </r>
      </text>
    </comment>
    <comment ref="B18" authorId="0">
      <text>
        <r>
          <rPr>
            <sz val="11"/>
            <color indexed="8"/>
            <rFont val="Arial"/>
            <family val="2"/>
          </rPr>
          <t>Táxi coletivo até Hpa An</t>
        </r>
      </text>
    </comment>
    <comment ref="L18" authorId="0">
      <text>
        <r>
          <rPr>
            <sz val="11"/>
            <color indexed="8"/>
            <rFont val="Arial"/>
            <family val="2"/>
          </rPr>
          <t>Conseguimos um hostel de graça em troca de indicação no nosso site</t>
        </r>
      </text>
    </comment>
    <comment ref="B19" authorId="0">
      <text>
        <r>
          <rPr>
            <sz val="11"/>
            <color indexed="8"/>
            <rFont val="Arial"/>
            <family val="2"/>
          </rPr>
          <t>Aluguel de moto + gasolina</t>
        </r>
      </text>
    </comment>
    <comment ref="H19" authorId="0">
      <text>
        <r>
          <rPr>
            <sz val="11"/>
            <color indexed="8"/>
            <rFont val="Arial"/>
            <family val="2"/>
          </rPr>
          <t>Entradas para uma caverna</t>
        </r>
      </text>
    </comment>
    <comment ref="J19" authorId="0">
      <text>
        <r>
          <rPr>
            <sz val="11"/>
            <color indexed="8"/>
            <rFont val="Arial"/>
            <family val="2"/>
          </rPr>
          <t>Banheiro público</t>
        </r>
      </text>
    </comment>
    <comment ref="B21" authorId="0">
      <text>
        <r>
          <rPr>
            <sz val="11"/>
            <color indexed="8"/>
            <rFont val="Arial"/>
            <family val="2"/>
          </rPr>
          <t>Duas passagens de ônibus para Mawlamyine</t>
        </r>
      </text>
    </comment>
    <comment ref="B22" authorId="0">
      <text>
        <r>
          <rPr>
            <sz val="11"/>
            <color indexed="8"/>
            <rFont val="Arial"/>
            <family val="2"/>
          </rPr>
          <t>Caminhão para ir e voltar do Buda gigante (cobraram 750 na ida e 1000 na volta)</t>
        </r>
      </text>
    </comment>
    <comment ref="J22" authorId="0">
      <text>
        <r>
          <rPr>
            <sz val="11"/>
            <color indexed="8"/>
            <rFont val="Arial"/>
            <family val="2"/>
          </rPr>
          <t>Compramos uma cerveja no hotel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trem para Yangon (10 horas de viagem)</t>
        </r>
      </text>
    </comment>
    <comment ref="B24" authorId="0">
      <text>
        <r>
          <rPr>
            <sz val="11"/>
            <color indexed="8"/>
            <rFont val="Arial"/>
            <family val="2"/>
          </rPr>
          <t>Passagens de trem dentro de Yangon + passagem de ônibus para Kalaw (11 horas de viagem)</t>
        </r>
      </text>
    </comment>
    <comment ref="B25" authorId="0">
      <text>
        <r>
          <rPr>
            <sz val="11"/>
            <color indexed="8"/>
            <rFont val="Arial"/>
            <family val="2"/>
          </rPr>
          <t>Trem até perto da estação de ônibus</t>
        </r>
      </text>
    </comment>
    <comment ref="L25" authorId="0">
      <text>
        <r>
          <rPr>
            <sz val="11"/>
            <color indexed="8"/>
            <rFont val="Arial"/>
            <family val="2"/>
          </rPr>
          <t>Dormimos no ônibus. No dia seguinte o hotel nos deixou fazer checkin cedo</t>
        </r>
      </text>
    </comment>
    <comment ref="J26" authorId="0">
      <text>
        <r>
          <rPr>
            <sz val="11"/>
            <color indexed="8"/>
            <rFont val="Arial"/>
            <family val="2"/>
          </rPr>
          <t>Chinelo novo para a Michele</t>
        </r>
      </text>
    </comment>
    <comment ref="J29" authorId="0">
      <text>
        <r>
          <rPr>
            <sz val="11"/>
            <color indexed="8"/>
            <rFont val="Arial"/>
            <family val="2"/>
          </rPr>
          <t xml:space="preserve">Uma cerveja no hotel
</t>
        </r>
      </text>
    </comment>
    <comment ref="L29" authorId="0">
      <text>
        <r>
          <rPr>
            <sz val="11"/>
            <color indexed="8"/>
            <rFont val="Arial"/>
            <family val="2"/>
          </rPr>
          <t>Hospedagem com janta e café da manha</t>
        </r>
      </text>
    </comment>
    <comment ref="J30" authorId="0">
      <text>
        <r>
          <rPr>
            <sz val="11"/>
            <color indexed="8"/>
            <rFont val="Arial"/>
            <family val="2"/>
          </rPr>
          <t>Duas cervejas (5000)
chinelos (2500)</t>
        </r>
      </text>
    </comment>
    <comment ref="L30" authorId="0">
      <text>
        <r>
          <rPr>
            <sz val="11"/>
            <color indexed="8"/>
            <rFont val="Arial"/>
            <family val="2"/>
          </rPr>
          <t>Hospedagem com janta (sem café da manhã)</t>
        </r>
      </text>
    </comment>
    <comment ref="B31" authorId="0">
      <text>
        <r>
          <rPr>
            <sz val="11"/>
            <color indexed="8"/>
            <rFont val="Arial"/>
            <family val="2"/>
          </rPr>
          <t>Barco para chegar a Nyiang Shwe</t>
        </r>
      </text>
    </comment>
    <comment ref="H32" authorId="0">
      <text>
        <r>
          <rPr>
            <sz val="11"/>
            <color indexed="8"/>
            <rFont val="Arial"/>
            <family val="2"/>
          </rPr>
          <t xml:space="preserve">Passeio de barco pelo lago
</t>
        </r>
      </text>
    </comment>
    <comment ref="B33" authorId="0">
      <text>
        <r>
          <rPr>
            <sz val="11"/>
            <color indexed="8"/>
            <rFont val="Arial"/>
            <family val="2"/>
          </rPr>
          <t>Passagens de ônibus para Bagan (6 horas de viagem)</t>
        </r>
      </text>
    </comment>
    <comment ref="H33" authorId="0">
      <text>
        <r>
          <rPr>
            <sz val="11"/>
            <color indexed="8"/>
            <rFont val="Arial"/>
            <family val="2"/>
          </rPr>
          <t>Duas entradas para uma caverna</t>
        </r>
      </text>
    </comment>
    <comment ref="J33" authorId="0">
      <text>
        <r>
          <rPr>
            <sz val="11"/>
            <color indexed="8"/>
            <rFont val="Arial"/>
            <family val="2"/>
          </rPr>
          <t>Chinelos novos (sim, compramos 4 pares em 1 semana)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color indexed="8"/>
            <rFont val="Arial"/>
            <family val="2"/>
          </rPr>
          <t>Táxi da rodoviária para o centro da cidade</t>
        </r>
      </text>
    </comment>
    <comment ref="H2" authorId="0">
      <text>
        <r>
          <rPr>
            <sz val="11"/>
            <color indexed="8"/>
            <rFont val="Arial"/>
            <family val="2"/>
          </rPr>
          <t>Entradas para Bagan</t>
        </r>
      </text>
    </comment>
    <comment ref="B3" authorId="0">
      <text>
        <r>
          <rPr>
            <sz val="11"/>
            <color indexed="8"/>
            <rFont val="Arial"/>
            <family val="2"/>
          </rPr>
          <t>Aluguel de moto elétrica para conhecer Bagan</t>
        </r>
      </text>
    </comment>
    <comment ref="J3" authorId="0">
      <text>
        <r>
          <rPr>
            <sz val="11"/>
            <color indexed="8"/>
            <rFont val="Arial"/>
            <family val="2"/>
          </rPr>
          <t>Compramos “tanaka”, um creme para passar no rosto no lugar de protetor solar</t>
        </r>
      </text>
    </comment>
    <comment ref="B4" authorId="0">
      <text>
        <r>
          <rPr>
            <sz val="11"/>
            <color indexed="8"/>
            <rFont val="Arial"/>
            <family val="2"/>
          </rPr>
          <t>3000 – moto do terminal de ônibus até o hotel (para ir, fomos a pé)
9000 – passagem de ônibus para Mandalay</t>
        </r>
      </text>
    </comment>
    <comment ref="H6" authorId="0">
      <text>
        <r>
          <rPr>
            <sz val="11"/>
            <color indexed="8"/>
            <rFont val="Arial"/>
            <family val="2"/>
          </rPr>
          <t>Passe para as atrações de Mandalay</t>
        </r>
      </text>
    </comment>
    <comment ref="L6" authorId="0">
      <text>
        <r>
          <rPr>
            <sz val="11"/>
            <color indexed="8"/>
            <rFont val="Arial"/>
            <family val="2"/>
          </rPr>
          <t xml:space="preserve">Conseguimos três diárias grátis </t>
        </r>
      </text>
    </comment>
    <comment ref="B7" authorId="0">
      <text>
        <r>
          <rPr>
            <sz val="11"/>
            <color indexed="8"/>
            <rFont val="Arial"/>
            <family val="2"/>
          </rPr>
          <t>Aluguel de uma moto. 1000 foi de gasolina</t>
        </r>
      </text>
    </comment>
    <comment ref="H7" authorId="0">
      <text>
        <r>
          <rPr>
            <sz val="11"/>
            <color indexed="8"/>
            <rFont val="Arial"/>
            <family val="2"/>
          </rPr>
          <t>Pagamento para o uso da câmera em um templo</t>
        </r>
      </text>
    </comment>
    <comment ref="J7" authorId="0">
      <text>
        <r>
          <rPr>
            <sz val="11"/>
            <color indexed="8"/>
            <rFont val="Arial"/>
            <family val="2"/>
          </rPr>
          <t xml:space="preserve">Banheiro
</t>
        </r>
      </text>
    </comment>
    <comment ref="B8" authorId="0">
      <text>
        <r>
          <rPr>
            <sz val="11"/>
            <color indexed="8"/>
            <rFont val="Arial"/>
            <family val="2"/>
          </rPr>
          <t>Aluguel de moto (não tinha da mais barata, então tivemos que pegar uma mais cara)</t>
        </r>
      </text>
    </comment>
    <comment ref="J8" authorId="0">
      <text>
        <r>
          <rPr>
            <sz val="11"/>
            <color indexed="8"/>
            <rFont val="Arial"/>
            <family val="2"/>
          </rPr>
          <t>Estacionamento da moto (2x)</t>
        </r>
      </text>
    </comment>
    <comment ref="B9" authorId="0">
      <text>
        <r>
          <rPr>
            <sz val="11"/>
            <color indexed="8"/>
            <rFont val="Arial"/>
            <family val="2"/>
          </rPr>
          <t>Passagens de trem para Yangon (classe superior)</t>
        </r>
      </text>
    </comment>
    <comment ref="F9" authorId="0">
      <text>
        <r>
          <rPr>
            <sz val="11"/>
            <color indexed="8"/>
            <rFont val="Arial"/>
            <family val="2"/>
          </rPr>
          <t>14 mil foi nossa janta no trem (obviamente fomos explorados)</t>
        </r>
      </text>
    </comment>
    <comment ref="L10" authorId="0">
      <text>
        <r>
          <rPr>
            <sz val="11"/>
            <color indexed="8"/>
            <rFont val="Arial"/>
            <family val="2"/>
          </rPr>
          <t>Ganhamos três diárias grátis em Yangon</t>
        </r>
      </text>
    </comment>
    <comment ref="B11" authorId="0">
      <text>
        <r>
          <rPr>
            <sz val="11"/>
            <color indexed="8"/>
            <rFont val="Arial"/>
            <family val="2"/>
          </rPr>
          <t xml:space="preserve">Passagens de ônibus para a fronteira (para o dia 12)
</t>
        </r>
      </text>
    </comment>
    <comment ref="H11" authorId="0">
      <text>
        <r>
          <rPr>
            <sz val="11"/>
            <color indexed="8"/>
            <rFont val="Arial"/>
            <family val="2"/>
          </rPr>
          <t>Entradas para o pagode principal de Yangon</t>
        </r>
      </text>
    </comment>
    <comment ref="B14" authorId="0">
      <text>
        <r>
          <rPr>
            <sz val="11"/>
            <color indexed="8"/>
            <rFont val="Arial"/>
            <family val="2"/>
          </rPr>
          <t>Ônibus da fronteira até o centro</t>
        </r>
      </text>
    </comment>
    <comment ref="B15" authorId="0">
      <text>
        <r>
          <rPr>
            <sz val="11"/>
            <color indexed="8"/>
            <rFont val="Arial"/>
            <family val="2"/>
          </rPr>
          <t>Van para Pitzanulok + taxi até o centro</t>
        </r>
      </text>
    </comment>
    <comment ref="J16" authorId="0">
      <text>
        <r>
          <rPr>
            <sz val="11"/>
            <color indexed="8"/>
            <rFont val="Arial"/>
            <family val="2"/>
          </rPr>
          <t>Anticoncepcional</t>
        </r>
      </text>
    </comment>
    <comment ref="F19" authorId="0">
      <text>
        <r>
          <rPr>
            <sz val="11"/>
            <color indexed="8"/>
            <rFont val="Arial"/>
            <family val="2"/>
          </rPr>
          <t>Jantamos em um lugar de luxo</t>
        </r>
      </text>
    </comment>
    <comment ref="L25" authorId="0">
      <text>
        <r>
          <rPr>
            <sz val="11"/>
            <color indexed="8"/>
            <rFont val="Arial"/>
            <family val="2"/>
          </rPr>
          <t>O hotel ficou um pouco mais barato por causa da queda do dólar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4" authorId="0">
      <text>
        <r>
          <rPr>
            <sz val="10"/>
            <color indexed="8"/>
            <rFont val="Arial"/>
            <family val="2"/>
          </rPr>
          <t>Barco</t>
        </r>
      </text>
    </comment>
    <comment ref="U8" authorId="0">
      <text>
        <r>
          <rPr>
            <sz val="10"/>
            <color indexed="8"/>
            <rFont val="Arial"/>
            <family val="2"/>
          </rPr>
          <t>Dormimos no caminhão em Calama</t>
        </r>
      </text>
    </comment>
    <comment ref="M12" authorId="0">
      <text>
        <r>
          <rPr>
            <sz val="10"/>
            <color indexed="8"/>
            <rFont val="Arial"/>
            <family val="2"/>
          </rPr>
          <t>Compramos um tablet novo</t>
        </r>
      </text>
    </comment>
    <comment ref="P16" authorId="0">
      <text>
        <r>
          <rPr>
            <sz val="10"/>
            <color indexed="8"/>
            <rFont val="Arial"/>
            <family val="2"/>
          </rPr>
          <t>Em uma rede no Lago Maracaibo</t>
        </r>
      </text>
    </comment>
    <comment ref="M24" authorId="0">
      <text>
        <r>
          <rPr>
            <sz val="11"/>
            <color indexed="8"/>
            <rFont val="Arial"/>
            <family val="2"/>
          </rPr>
          <t>Precisamos comprar um computador novo</t>
        </r>
      </text>
    </comment>
    <comment ref="D27" authorId="0">
      <text>
        <r>
          <rPr>
            <sz val="11"/>
            <color indexed="8"/>
            <rFont val="Arial"/>
            <family val="2"/>
          </rPr>
          <t>Inclui a compra de uma GoPro</t>
        </r>
      </text>
    </comment>
    <comment ref="M27" authorId="0">
      <text>
        <r>
          <rPr>
            <sz val="11"/>
            <color indexed="8"/>
            <rFont val="Arial"/>
            <family val="2"/>
          </rPr>
          <t>Compramos uma GoPro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150 – mototáxi até o porto de Boracay;
25 – passagem de barco
100 – taxa portuária
350 – ônibus até Iloilo</t>
        </r>
      </text>
    </comment>
    <comment ref="B5" authorId="0">
      <text>
        <r>
          <rPr>
            <sz val="11"/>
            <color indexed="8"/>
            <rFont val="Arial"/>
            <family val="2"/>
          </rPr>
          <t>190 – barco de Iloilo a Bacolod
30 – taxa portuária
30 – ônibus (jeepney) do porto até o terminal
153 – ônibus de Bacolod a San Carlos</t>
        </r>
      </text>
    </comment>
    <comment ref="B6" authorId="0">
      <text>
        <r>
          <rPr>
            <sz val="11"/>
            <color indexed="8"/>
            <rFont val="Arial"/>
            <family val="2"/>
          </rPr>
          <t>100 – Barco de San Carlos a Toledo;
20 – taxa de porto;
100 – Van de Toledo a Naga (tivemos que pagar 3 por conta das mochilas)
101 – ônibus de Naga a Moalboal</t>
        </r>
      </text>
    </comment>
    <comment ref="B7" authorId="0">
      <text>
        <r>
          <rPr>
            <sz val="11"/>
            <color indexed="8"/>
            <rFont val="Arial"/>
            <family val="2"/>
          </rPr>
          <t>Passagens de ida e de volta para a cachoeira</t>
        </r>
      </text>
    </comment>
    <comment ref="H7" authorId="0">
      <text>
        <r>
          <rPr>
            <sz val="11"/>
            <color indexed="8"/>
            <rFont val="Arial"/>
            <family val="2"/>
          </rPr>
          <t>Entrada para as cachoeiras de Kawasan</t>
        </r>
      </text>
    </comment>
    <comment ref="B8" authorId="0">
      <text>
        <r>
          <rPr>
            <sz val="11"/>
            <color indexed="8"/>
            <rFont val="Arial"/>
            <family val="2"/>
          </rPr>
          <t xml:space="preserve">130 – ônibus até Cebu
400 – Ferry até Bohol
25 – taxa do porto
50 – taxa pelas mochilas
7 – ônibus interno em Cebu
</t>
        </r>
      </text>
    </comment>
    <comment ref="B10" authorId="0">
      <text>
        <r>
          <rPr>
            <sz val="11"/>
            <color indexed="8"/>
            <rFont val="Arial"/>
            <family val="2"/>
          </rPr>
          <t>Passagens para o Santuario dos Társios e depois para o Cerro Chocolate</t>
        </r>
      </text>
    </comment>
    <comment ref="H10" authorId="0">
      <text>
        <r>
          <rPr>
            <sz val="11"/>
            <color indexed="8"/>
            <rFont val="Arial"/>
            <family val="2"/>
          </rPr>
          <t>Entradas para o santuário e para o cerro chocolate</t>
        </r>
      </text>
    </comment>
    <comment ref="B11" authorId="0">
      <text>
        <r>
          <rPr>
            <sz val="11"/>
            <color indexed="8"/>
            <rFont val="Arial"/>
            <family val="2"/>
          </rPr>
          <t>Duas passagens de barco para Manila que compramos adiantado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Passagens de ida e volta para a praia de Alona</t>
        </r>
      </text>
    </comment>
    <comment ref="B14" authorId="0">
      <text>
        <r>
          <rPr>
            <sz val="11"/>
            <color indexed="8"/>
            <rFont val="Arial"/>
            <family val="2"/>
          </rPr>
          <t>Passagens de barco + taxas da mochila + taxas portuárias</t>
        </r>
      </text>
    </comment>
    <comment ref="B15" authorId="0">
      <text>
        <r>
          <rPr>
            <sz val="11"/>
            <color indexed="8"/>
            <rFont val="Arial"/>
            <family val="2"/>
          </rPr>
          <t>Passagem de ônibus para Vigan e moto dentro de manila</t>
        </r>
      </text>
    </comment>
    <comment ref="J17" authorId="0">
      <text>
        <r>
          <rPr>
            <sz val="11"/>
            <color indexed="8"/>
            <rFont val="Arial"/>
            <family val="2"/>
          </rPr>
          <t>Dois espetinhos</t>
        </r>
      </text>
    </comment>
    <comment ref="B18" authorId="0">
      <text>
        <r>
          <rPr>
            <sz val="11"/>
            <color indexed="8"/>
            <rFont val="Arial"/>
            <family val="2"/>
          </rPr>
          <t>Ônibus Sagada – Bontoc, Bontoc – Banaue, Banaue - Batad</t>
        </r>
      </text>
    </comment>
    <comment ref="H18" authorId="0">
      <text>
        <r>
          <rPr>
            <sz val="11"/>
            <color indexed="8"/>
            <rFont val="Arial"/>
            <family val="2"/>
          </rPr>
          <t>Taxamunicipal + entrada para ver os caixões</t>
        </r>
      </text>
    </comment>
    <comment ref="B20" authorId="0">
      <text>
        <r>
          <rPr>
            <sz val="11"/>
            <color indexed="8"/>
            <rFont val="Arial"/>
            <family val="2"/>
          </rPr>
          <t>Jeepney para Banaue+ passagens para Manila</t>
        </r>
      </text>
    </comment>
    <comment ref="B21" authorId="0">
      <text>
        <r>
          <rPr>
            <sz val="11"/>
            <color indexed="8"/>
            <rFont val="Arial"/>
            <family val="2"/>
          </rPr>
          <t>Moto-táxi da rodoviária parao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Experimentamos um sorvete típico das Filipinas</t>
        </r>
      </text>
    </comment>
    <comment ref="F23" authorId="0">
      <text>
        <r>
          <rPr>
            <sz val="11"/>
            <color indexed="8"/>
            <rFont val="Arial"/>
            <family val="2"/>
          </rPr>
          <t>Decidimos esbanjar na nossa despedida das Filipinas</t>
        </r>
      </text>
    </comment>
    <comment ref="J23" authorId="0">
      <text>
        <r>
          <rPr>
            <sz val="11"/>
            <color indexed="8"/>
            <rFont val="Arial"/>
            <family val="2"/>
          </rPr>
          <t>156 = roupas que mandamos lavar
50 = compramos uma camisa grande para a Michele, pois iremos a um país muçulmano</t>
        </r>
      </text>
    </comment>
    <comment ref="B24" authorId="0">
      <text>
        <r>
          <rPr>
            <sz val="11"/>
            <color indexed="8"/>
            <rFont val="Arial"/>
            <family val="2"/>
          </rPr>
          <t>Ônibus para o aeroporto</t>
        </r>
      </text>
    </comment>
    <comment ref="F24" authorId="0">
      <text>
        <r>
          <rPr>
            <sz val="11"/>
            <color indexed="8"/>
            <rFont val="Arial"/>
            <family val="2"/>
          </rPr>
          <t>Almoço na cidade e pizza no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Passamos a noite no aeroporto de Kuala Lumpur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metrô. As de 1,30 foi que compramos errado</t>
        </r>
      </text>
    </comment>
    <comment ref="J28" authorId="0">
      <text>
        <r>
          <rPr>
            <sz val="11"/>
            <color indexed="8"/>
            <rFont val="Arial"/>
            <family val="2"/>
          </rPr>
          <t>Comemos um doce típico</t>
        </r>
      </text>
    </comment>
    <comment ref="L28" authorId="0">
      <text>
        <r>
          <rPr>
            <sz val="11"/>
            <color indexed="8"/>
            <rFont val="Arial"/>
            <family val="2"/>
          </rPr>
          <t>Mesmo hotel, mas pagando diretamente (sem reservar pelo booking) ficou um pouco mais barato</t>
        </r>
      </text>
    </comment>
    <comment ref="J31" authorId="0">
      <text>
        <r>
          <rPr>
            <sz val="11"/>
            <color indexed="8"/>
            <rFont val="Arial"/>
            <family val="2"/>
          </rPr>
          <t>Compramos uma garrafa d'água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indexed="8"/>
            <rFont val="Arial"/>
            <family val="2"/>
          </rPr>
          <t>6 - Metro 
69 - ônibus de KL para Johor Bahru
5- ônibus JB - Cingapura</t>
        </r>
      </text>
    </comment>
    <comment ref="L6" authorId="0">
      <text>
        <r>
          <rPr>
            <sz val="11"/>
            <color indexed="8"/>
            <rFont val="Arial"/>
            <family val="2"/>
          </rPr>
          <t>Hostel em Singapura. 2 camas em quarto compartilhado</t>
        </r>
      </text>
    </comment>
    <comment ref="B9" authorId="0">
      <text>
        <r>
          <rPr>
            <sz val="11"/>
            <color indexed="8"/>
            <rFont val="Arial"/>
            <family val="2"/>
          </rPr>
          <t>Metrô + ônibus até Johor Bahu</t>
        </r>
      </text>
    </comment>
    <comment ref="B10" authorId="0">
      <text>
        <r>
          <rPr>
            <sz val="11"/>
            <color indexed="8"/>
            <rFont val="Arial"/>
            <family val="2"/>
          </rPr>
          <t>Ônibus até Malaca</t>
        </r>
      </text>
    </comment>
    <comment ref="D10" authorId="0">
      <text>
        <r>
          <rPr>
            <sz val="11"/>
            <color indexed="8"/>
            <rFont val="Arial"/>
            <family val="2"/>
          </rPr>
          <t>Agua de 1,5l</t>
        </r>
      </text>
    </comment>
    <comment ref="F11" authorId="0">
      <text>
        <r>
          <rPr>
            <sz val="11"/>
            <color indexed="8"/>
            <rFont val="Arial"/>
            <family val="2"/>
          </rPr>
          <t>Almoço e janta em um restaurante indiano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de ônibus para Kuala Lumpur; passagem dentro de Malaca e trem em Kuala Lumpur</t>
        </r>
      </text>
    </comment>
    <comment ref="B15" authorId="0">
      <text>
        <r>
          <rPr>
            <sz val="11"/>
            <color indexed="8"/>
            <rFont val="Arial"/>
            <family val="2"/>
          </rPr>
          <t>6 – metrô
35,40 – ônibus até Cameron Highlands</t>
        </r>
      </text>
    </comment>
    <comment ref="J16" authorId="0">
      <text>
        <r>
          <rPr>
            <sz val="11"/>
            <color indexed="8"/>
            <rFont val="Arial"/>
            <family val="2"/>
          </rPr>
          <t>Sorvete</t>
        </r>
      </text>
    </comment>
    <comment ref="B17" authorId="0">
      <text>
        <r>
          <rPr>
            <sz val="11"/>
            <color indexed="8"/>
            <rFont val="Arial"/>
            <family val="2"/>
          </rPr>
          <t>Passagens para Gerantut</t>
        </r>
      </text>
    </comment>
    <comment ref="F17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18" authorId="0">
      <text>
        <r>
          <rPr>
            <sz val="11"/>
            <color indexed="8"/>
            <rFont val="Arial"/>
            <family val="2"/>
          </rPr>
          <t>Enchemos nossas garrafas com água purificada</t>
        </r>
      </text>
    </comment>
    <comment ref="B19" authorId="0">
      <text>
        <r>
          <rPr>
            <sz val="11"/>
            <color indexed="8"/>
            <rFont val="Arial"/>
            <family val="2"/>
          </rPr>
          <t>7 – passagem de ônibus para Taman Negara
1 – passagem para cruzar o rio, por pessoa</t>
        </r>
      </text>
    </comment>
    <comment ref="H19" authorId="0">
      <text>
        <r>
          <rPr>
            <sz val="11"/>
            <color indexed="8"/>
            <rFont val="Arial"/>
            <family val="2"/>
          </rPr>
          <t>1 – entrada para o parque
5 – permissão para usar câmeras
5 – entrada para o canopy</t>
        </r>
      </text>
    </comment>
    <comment ref="B20" authorId="0">
      <text>
        <r>
          <rPr>
            <sz val="11"/>
            <color indexed="8"/>
            <rFont val="Arial"/>
            <family val="2"/>
          </rPr>
          <t>Passagens para Kuala Lumpur (compramos para depois de amanhã, pois estava tudo lotado)</t>
        </r>
      </text>
    </comment>
    <comment ref="B22" authorId="0">
      <text>
        <r>
          <rPr>
            <sz val="11"/>
            <color indexed="8"/>
            <rFont val="Arial"/>
            <family val="2"/>
          </rPr>
          <t>2 passes de metrô</t>
        </r>
      </text>
    </comment>
    <comment ref="J27" authorId="0">
      <text>
        <r>
          <rPr>
            <sz val="11"/>
            <color indexed="8"/>
            <rFont val="Arial"/>
            <family val="2"/>
          </rPr>
          <t>Roupa de muçulmana para a Michele</t>
        </r>
      </text>
    </comment>
    <comment ref="B28" authorId="0">
      <text>
        <r>
          <rPr>
            <sz val="11"/>
            <color indexed="8"/>
            <rFont val="Arial"/>
            <family val="2"/>
          </rPr>
          <t>Preço de duas passagens de avião + IOF para voar de Kuala Lumpur a Kuching (Malásia)</t>
        </r>
      </text>
    </comment>
    <comment ref="J28" authorId="0">
      <text>
        <r>
          <rPr>
            <sz val="11"/>
            <color indexed="8"/>
            <rFont val="Arial"/>
            <family val="2"/>
          </rPr>
          <t>Uma bermuda para mim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metrô e passagem para o aeroporto</t>
        </r>
      </text>
    </comment>
    <comment ref="F29" authorId="0">
      <text>
        <r>
          <rPr>
            <sz val="11"/>
            <color indexed="8"/>
            <rFont val="Arial"/>
            <family val="2"/>
          </rPr>
          <t>Duas jantas no aeroporto</t>
        </r>
      </text>
    </comment>
    <comment ref="L29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Passagem do aeroporto até o centro</t>
        </r>
      </text>
    </comment>
    <comment ref="F30" authorId="0">
      <text>
        <r>
          <rPr>
            <sz val="11"/>
            <color indexed="8"/>
            <rFont val="Arial"/>
            <family val="2"/>
          </rPr>
          <t>Dois almoços com suco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3" authorId="0">
      <text>
        <r>
          <rPr>
            <sz val="11"/>
            <color indexed="8"/>
            <rFont val="Arial"/>
            <family val="2"/>
          </rPr>
          <t>O hostel onde estávamos estava lotado para o fim de semana. Nos mudamos para este que custa 50, mas cobravam também 10 a mais de impostos</t>
        </r>
      </text>
    </comment>
    <comment ref="J4" authorId="0">
      <text>
        <r>
          <rPr>
            <sz val="11"/>
            <color indexed="8"/>
            <rFont val="Arial"/>
            <family val="2"/>
          </rPr>
          <t>-Cópias para o visto de Brunei + fotos</t>
        </r>
      </text>
    </comment>
    <comment ref="B5" authorId="0">
      <text>
        <r>
          <rPr>
            <sz val="11"/>
            <color indexed="8"/>
            <rFont val="Arial"/>
            <family val="2"/>
          </rPr>
          <t>3,50 – ônibus até o lugar onde saem os barcos;
20 – passagem do barco (compramos ida e volta)</t>
        </r>
      </text>
    </comment>
    <comment ref="H5" authorId="0">
      <text>
        <r>
          <rPr>
            <sz val="11"/>
            <color indexed="8"/>
            <rFont val="Arial"/>
            <family val="2"/>
          </rPr>
          <t>Entradas para o parque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de volta a Kuching</t>
        </r>
      </text>
    </comment>
    <comment ref="P7" authorId="0">
      <text>
        <r>
          <rPr>
            <sz val="11"/>
            <color indexed="8"/>
            <rFont val="Arial"/>
            <family val="2"/>
          </rPr>
          <t>Vistos para Brunei</t>
        </r>
      </text>
    </comment>
    <comment ref="B11" authorId="0">
      <text>
        <r>
          <rPr>
            <sz val="11"/>
            <color indexed="8"/>
            <rFont val="Arial"/>
            <family val="2"/>
          </rPr>
          <t>2: ônibus até o terminal
70: ônibus até Miri</t>
        </r>
      </text>
    </comment>
    <comment ref="J11" authorId="0">
      <text>
        <r>
          <rPr>
            <sz val="11"/>
            <color indexed="8"/>
            <rFont val="Arial"/>
            <family val="2"/>
          </rPr>
          <t>Banheiro no terminal</t>
        </r>
      </text>
    </comment>
    <comment ref="B12" authorId="0">
      <text>
        <r>
          <rPr>
            <sz val="11"/>
            <color indexed="8"/>
            <rFont val="Arial"/>
            <family val="2"/>
          </rPr>
          <t>Ônibus do terminal até o centro de Miri</t>
        </r>
      </text>
    </comment>
    <comment ref="J13" authorId="0">
      <text>
        <r>
          <rPr>
            <sz val="11"/>
            <color indexed="8"/>
            <rFont val="Arial"/>
            <family val="2"/>
          </rPr>
          <t>Imprimimos as passagens para ir e sair de Brunei</t>
        </r>
      </text>
    </comment>
    <comment ref="B15" authorId="0">
      <text>
        <r>
          <rPr>
            <sz val="11"/>
            <color indexed="8"/>
            <rFont val="Arial"/>
            <family val="2"/>
          </rPr>
          <t>Ônibus até o terminal + ônibus para Brunei</t>
        </r>
      </text>
    </comment>
    <comment ref="B16" authorId="0">
      <text>
        <r>
          <rPr>
            <sz val="11"/>
            <color indexed="8"/>
            <rFont val="Arial"/>
            <family val="2"/>
          </rPr>
          <t>Ônibus em Brunei</t>
        </r>
      </text>
    </comment>
    <comment ref="B17" authorId="0">
      <text>
        <r>
          <rPr>
            <sz val="11"/>
            <color indexed="8"/>
            <rFont val="Arial"/>
            <family val="2"/>
          </rPr>
          <t>1 (por pessoa): passagem de ônibus até o centro (voltamos a pé);
1 (por pessoa/trecho): passagem de barco para ir para as casinhas de palafita</t>
        </r>
      </text>
    </comment>
    <comment ref="B19" authorId="0">
      <text>
        <r>
          <rPr>
            <sz val="11"/>
            <color indexed="8"/>
            <rFont val="Arial"/>
            <family val="2"/>
          </rPr>
          <t>Ida e volta do centro</t>
        </r>
      </text>
    </comment>
    <comment ref="B20" authorId="0">
      <text>
        <r>
          <rPr>
            <sz val="11"/>
            <color indexed="8"/>
            <rFont val="Arial"/>
            <family val="2"/>
          </rPr>
          <t>4 – ônibus para ir até o terminal de ferry
19 – preço da passagem do ferry (é 15, mas compramos pela internet e deu 19)
4 – preço do imposto do porto (não pagamos porque não tínhamos dinheiro e um outro cara da fila pagou para nós)</t>
        </r>
      </text>
    </comment>
    <comment ref="B22" authorId="0">
      <text>
        <r>
          <rPr>
            <sz val="11"/>
            <color indexed="8"/>
            <rFont val="Arial"/>
            <family val="2"/>
          </rPr>
          <t>Barco para Kota Kinabalu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para ir e voltar do terminal de ônibus + passagens para Sandakan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onibus para o terminal de Kota Kinabalu. Chegamos tarde em Sandakan e tivemos que pegar um táxi para o centro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ônibus para ir e voltar o parque dos orangotangos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parque dos orangotangos + uso da câmera</t>
        </r>
      </text>
    </comment>
    <comment ref="B31" authorId="0">
      <text>
        <r>
          <rPr>
            <sz val="11"/>
            <color indexed="8"/>
            <rFont val="Arial"/>
            <family val="2"/>
          </rPr>
          <t>Passagens de volta para Kota Kinabalu</t>
        </r>
      </text>
    </comment>
    <comment ref="B32" authorId="0">
      <text>
        <r>
          <rPr>
            <sz val="11"/>
            <color indexed="8"/>
            <rFont val="Arial"/>
            <family val="2"/>
          </rPr>
          <t>Grab para o terminal de ônibus de Sandakan e ônibus para o centro de Kota Linabalu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5" authorId="0">
      <text>
        <r>
          <rPr>
            <sz val="11"/>
            <color indexed="8"/>
            <rFont val="Arial"/>
            <family val="2"/>
          </rPr>
          <t>Precisamos comprar uma mochila nova para a Michele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aérea para Kuala Lumpur</t>
        </r>
      </text>
    </comment>
    <comment ref="B13" authorId="0">
      <text>
        <r>
          <rPr>
            <sz val="11"/>
            <color indexed="8"/>
            <rFont val="Arial"/>
            <family val="2"/>
          </rPr>
          <t>Grab até o aeroporto</t>
        </r>
      </text>
    </comment>
    <comment ref="B14" authorId="0">
      <text>
        <r>
          <rPr>
            <sz val="11"/>
            <color indexed="8"/>
            <rFont val="Arial"/>
            <family val="2"/>
          </rPr>
          <t>Ônibus do aeroporto até o centro de KL; metrô até nosso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Duas caixas de anticoncepcionais</t>
        </r>
      </text>
    </comment>
    <comment ref="B24" authorId="0">
      <text>
        <r>
          <rPr>
            <sz val="11"/>
            <color indexed="8"/>
            <rFont val="Arial"/>
            <family val="2"/>
          </rPr>
          <t>Metrô até o centro + ônibus até 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J25" authorId="0">
      <text>
        <r>
          <rPr>
            <sz val="11"/>
            <color indexed="8"/>
            <rFont val="Arial"/>
            <family val="2"/>
          </rPr>
          <t>Gastamos o dinheiro que havia sobrado comprando alguns chocolates</t>
        </r>
      </text>
    </comment>
    <comment ref="B26" authorId="0">
      <text>
        <r>
          <rPr>
            <sz val="11"/>
            <color indexed="8"/>
            <rFont val="Arial"/>
            <family val="2"/>
          </rPr>
          <t>Passagem de avião para Jakarta</t>
        </r>
      </text>
    </comment>
    <comment ref="P26" authorId="0">
      <text>
        <r>
          <rPr>
            <sz val="11"/>
            <color indexed="8"/>
            <rFont val="Arial"/>
            <family val="2"/>
          </rPr>
          <t>Visto de 1 mês para cada um</t>
        </r>
      </text>
    </comment>
    <comment ref="B27" authorId="0">
      <text>
        <r>
          <rPr>
            <sz val="11"/>
            <color indexed="8"/>
            <rFont val="Arial"/>
            <family val="2"/>
          </rPr>
          <t>Ônibus até o centro de Jakarta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museu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Passagens de ida e volta ao centro; passagens de trem para Yojiakarta</t>
        </r>
      </text>
    </comment>
    <comment ref="B32" authorId="0">
      <text>
        <r>
          <rPr>
            <sz val="11"/>
            <color indexed="8"/>
            <rFont val="Arial"/>
            <family val="2"/>
          </rPr>
          <t>Ônibus para ir até a estação de trem</t>
        </r>
      </text>
    </comment>
    <comment ref="Z32" authorId="0">
      <text>
        <r>
          <rPr>
            <sz val="11"/>
            <color indexed="8"/>
            <rFont val="Arial"/>
            <family val="2"/>
          </rPr>
          <t>Dormimos no trem</t>
        </r>
      </text>
    </comment>
    <comment ref="B33" authorId="0">
      <text>
        <r>
          <rPr>
            <sz val="11"/>
            <color indexed="8"/>
            <rFont val="Arial"/>
            <family val="2"/>
          </rPr>
          <t>Ônibus da estação até o nosso hotel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indexed="8"/>
            <rFont val="Arial"/>
            <family val="2"/>
          </rPr>
          <t>Entradas para o Palácio do Sultão e para o Castelo de Águas</t>
        </r>
      </text>
    </comment>
    <comment ref="B3" authorId="0">
      <text>
        <r>
          <rPr>
            <sz val="11"/>
            <color indexed="8"/>
            <rFont val="Arial"/>
            <family val="2"/>
          </rPr>
          <t>Passagens de ônibus dentro de Yogyakarta e passagem de ônibus até o templo de Burubundu</t>
        </r>
      </text>
    </comment>
    <comment ref="H3" authorId="0">
      <text>
        <r>
          <rPr>
            <sz val="11"/>
            <color indexed="8"/>
            <rFont val="Arial"/>
            <family val="2"/>
          </rPr>
          <t>Entradas para o templo de Borobundu + entradas para um templo hindu</t>
        </r>
      </text>
    </comment>
    <comment ref="J3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F4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4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B6" authorId="0">
      <text>
        <r>
          <rPr>
            <sz val="11"/>
            <color indexed="8"/>
            <rFont val="Arial"/>
            <family val="2"/>
          </rPr>
          <t>Duas passagens para Bali (quase 20h de viagem)</t>
        </r>
      </text>
    </comment>
    <comment ref="H6" authorId="0">
      <text>
        <r>
          <rPr>
            <sz val="11"/>
            <color indexed="8"/>
            <rFont val="Arial"/>
            <family val="2"/>
          </rPr>
          <t>Entradas para a cidade do Sultão + direito de fotos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para o terminal</t>
        </r>
      </text>
    </comment>
    <comment ref="B8" authorId="0">
      <text>
        <r>
          <rPr>
            <sz val="11"/>
            <color indexed="8"/>
            <rFont val="Arial"/>
            <family val="2"/>
          </rPr>
          <t>Ônibus dentro de Bali, para it do terminal até o hotel</t>
        </r>
      </text>
    </comment>
    <comment ref="J8" authorId="0">
      <text>
        <r>
          <rPr>
            <sz val="11"/>
            <color indexed="8"/>
            <rFont val="Arial"/>
            <family val="2"/>
          </rPr>
          <t>Xerox</t>
        </r>
      </text>
    </comment>
    <comment ref="B9" authorId="0">
      <text>
        <r>
          <rPr>
            <sz val="11"/>
            <color indexed="8"/>
            <rFont val="Arial"/>
            <family val="2"/>
          </rPr>
          <t>Aluguel de uma scooter</t>
        </r>
      </text>
    </comment>
    <comment ref="H9" authorId="0">
      <text>
        <r>
          <rPr>
            <sz val="11"/>
            <color indexed="8"/>
            <rFont val="Arial"/>
            <family val="2"/>
          </rPr>
          <t>Entradas para um templo hindu</t>
        </r>
      </text>
    </comment>
    <comment ref="J9" authorId="0">
      <text>
        <r>
          <rPr>
            <sz val="11"/>
            <color indexed="8"/>
            <rFont val="Arial"/>
            <family val="2"/>
          </rPr>
          <t>Gasolina para a moto + estacionamentos
20 mil foi uma água de coco</t>
        </r>
      </text>
    </comment>
    <comment ref="P10" authorId="0">
      <text>
        <r>
          <rPr>
            <sz val="11"/>
            <color indexed="8"/>
            <rFont val="Arial"/>
            <family val="2"/>
          </rPr>
          <t>Renovação do visto</t>
        </r>
      </text>
    </comment>
    <comment ref="B11" authorId="0">
      <text>
        <r>
          <rPr>
            <sz val="11"/>
            <color indexed="8"/>
            <rFont val="Arial"/>
            <family val="2"/>
          </rPr>
          <t>Moto + gasolina</t>
        </r>
      </text>
    </comment>
    <comment ref="H11" authorId="0">
      <text>
        <r>
          <rPr>
            <sz val="11"/>
            <color indexed="8"/>
            <rFont val="Arial"/>
            <family val="2"/>
          </rPr>
          <t>Entradas para um templo e entrada para o hotel fantasma</t>
        </r>
      </text>
    </comment>
    <comment ref="J11" authorId="0">
      <text>
        <r>
          <rPr>
            <sz val="11"/>
            <color indexed="8"/>
            <rFont val="Arial"/>
            <family val="2"/>
          </rPr>
          <t>Chip 4G com 11 giga</t>
        </r>
      </text>
    </comment>
    <comment ref="B13" authorId="0">
      <text>
        <r>
          <rPr>
            <sz val="11"/>
            <color indexed="8"/>
            <rFont val="Arial"/>
            <family val="2"/>
          </rPr>
          <t>Moto + gasolina</t>
        </r>
      </text>
    </comment>
    <comment ref="H13" authorId="0">
      <text>
        <r>
          <rPr>
            <sz val="11"/>
            <color indexed="8"/>
            <rFont val="Arial"/>
            <family val="2"/>
          </rPr>
          <t>Pagamos um guia para nos levar até um templo por um caminho pelo mato</t>
        </r>
      </text>
    </comment>
    <comment ref="J13" authorId="0">
      <text>
        <r>
          <rPr>
            <sz val="11"/>
            <color indexed="8"/>
            <rFont val="Arial"/>
            <family val="2"/>
          </rPr>
          <t>Compramos duas cangas de praia (para poder entrar nos templos)</t>
        </r>
      </text>
    </comment>
    <comment ref="J15" authorId="0">
      <text>
        <r>
          <rPr>
            <sz val="11"/>
            <color indexed="8"/>
            <rFont val="Arial"/>
            <family val="2"/>
          </rPr>
          <t>Estacionamento da moto</t>
        </r>
      </text>
    </comment>
    <comment ref="H16" authorId="0">
      <text>
        <r>
          <rPr>
            <sz val="11"/>
            <color indexed="8"/>
            <rFont val="Arial"/>
            <family val="2"/>
          </rPr>
          <t>Para entrar no parque de diversões abandonado</t>
        </r>
      </text>
    </comment>
    <comment ref="J16" authorId="0">
      <text>
        <r>
          <rPr>
            <sz val="11"/>
            <color indexed="8"/>
            <rFont val="Arial"/>
            <family val="2"/>
          </rPr>
          <t>Arrumando o pneu da moto</t>
        </r>
      </text>
    </comment>
    <comment ref="B18" authorId="0">
      <text>
        <r>
          <rPr>
            <sz val="11"/>
            <color indexed="8"/>
            <rFont val="Arial"/>
            <family val="2"/>
          </rPr>
          <t>Aluguel da moto, gasolina e passagem de barco para a ilha de Flores</t>
        </r>
      </text>
    </comment>
    <comment ref="J18" authorId="0">
      <text>
        <r>
          <rPr>
            <sz val="11"/>
            <color indexed="8"/>
            <rFont val="Arial"/>
            <family val="2"/>
          </rPr>
          <t>Estacionamento para a moto</t>
        </r>
      </text>
    </comment>
    <comment ref="B20" authorId="0">
      <text>
        <r>
          <rPr>
            <sz val="11"/>
            <color indexed="8"/>
            <rFont val="Arial"/>
            <family val="2"/>
          </rPr>
          <t>Grab até o porto</t>
        </r>
      </text>
    </comment>
    <comment ref="Z20" authorId="0">
      <text>
        <r>
          <rPr>
            <sz val="11"/>
            <color indexed="8"/>
            <rFont val="Arial"/>
            <family val="2"/>
          </rPr>
          <t>Dormimos no barco</t>
        </r>
      </text>
    </comment>
    <comment ref="H22" authorId="0">
      <text>
        <r>
          <rPr>
            <sz val="11"/>
            <color indexed="8"/>
            <rFont val="Arial"/>
            <family val="2"/>
          </rPr>
          <t>Tour de 2 dias para Komodo</t>
        </r>
      </text>
    </comment>
    <comment ref="H23" authorId="0">
      <text>
        <r>
          <rPr>
            <sz val="11"/>
            <color indexed="8"/>
            <rFont val="Arial"/>
            <family val="2"/>
          </rPr>
          <t>Entrada para o Parque Nacional Komodo + guia</t>
        </r>
      </text>
    </comment>
    <comment ref="Z23" authorId="0">
      <text>
        <r>
          <rPr>
            <sz val="11"/>
            <color indexed="8"/>
            <rFont val="Arial"/>
            <family val="2"/>
          </rPr>
          <t>Dormimos no barco em um tour por Komodo</t>
        </r>
      </text>
    </comment>
    <comment ref="H24" authorId="0">
      <text>
        <r>
          <rPr>
            <sz val="11"/>
            <color indexed="8"/>
            <rFont val="Arial"/>
            <family val="2"/>
          </rPr>
          <t>Duas entradas numa ilha</t>
        </r>
      </text>
    </comment>
    <comment ref="B25" authorId="0">
      <text>
        <r>
          <rPr>
            <sz val="11"/>
            <color indexed="8"/>
            <rFont val="Arial"/>
            <family val="2"/>
          </rPr>
          <t>Ferry + Ônibus até Bima + Ônibus até Mataram (era 250, negociamos por 180)</t>
        </r>
      </text>
    </comment>
    <comment ref="F25" authorId="0">
      <text>
        <r>
          <rPr>
            <sz val="11"/>
            <color indexed="8"/>
            <rFont val="Arial"/>
            <family val="2"/>
          </rPr>
          <t>Dois almoços</t>
        </r>
      </text>
    </comment>
    <comment ref="B26" authorId="0">
      <text>
        <r>
          <rPr>
            <sz val="11"/>
            <color indexed="8"/>
            <rFont val="Arial"/>
            <family val="2"/>
          </rPr>
          <t xml:space="preserve">Ônibus de Mataram até o terminal de ferry + barco para a Ilha Gili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9" authorId="0">
      <text>
        <r>
          <rPr>
            <sz val="11"/>
            <color indexed="8"/>
            <rFont val="Arial"/>
            <family val="2"/>
          </rPr>
          <t>Compramos as passagens para Kuta (Bali) para o dia 10</t>
        </r>
      </text>
    </comment>
    <comment ref="F11" authorId="0">
      <text>
        <r>
          <rPr>
            <sz val="11"/>
            <color indexed="8"/>
            <rFont val="Arial"/>
            <family val="2"/>
          </rPr>
          <t>Com comida e bebida (incluindo cerveja, vodka e tudo mais) à vontade</t>
        </r>
      </text>
    </comment>
    <comment ref="F14" authorId="0">
      <text>
        <r>
          <rPr>
            <sz val="11"/>
            <color indexed="8"/>
            <rFont val="Arial"/>
            <family val="2"/>
          </rPr>
          <t>Fomos novamente no coma e beba a vontade =D</t>
        </r>
      </text>
    </comment>
    <comment ref="B20" authorId="0">
      <text>
        <r>
          <rPr>
            <sz val="11"/>
            <color indexed="8"/>
            <rFont val="Arial"/>
            <family val="2"/>
          </rPr>
          <t>Grab até o aeroporto</t>
        </r>
      </text>
    </comment>
    <comment ref="B21" authorId="0">
      <text>
        <r>
          <rPr>
            <sz val="11"/>
            <color indexed="8"/>
            <rFont val="Arial"/>
            <family val="2"/>
          </rPr>
          <t>Passagem de avião Bali – Phnon Penh (Camboja)</t>
        </r>
      </text>
    </comment>
    <comment ref="P22" authorId="0">
      <text>
        <r>
          <rPr>
            <sz val="11"/>
            <color indexed="8"/>
            <rFont val="Arial"/>
            <family val="2"/>
          </rPr>
          <t>Vistos de 30 dias para o Camboja</t>
        </r>
      </text>
    </comment>
    <comment ref="AD22" authorId="0">
      <text>
        <r>
          <rPr>
            <sz val="11"/>
            <color indexed="8"/>
            <rFont val="Arial"/>
            <family val="2"/>
          </rPr>
          <t>Apesar de o Camboja ter outra moeda, quase tudo se maneja em dólares americanos</t>
        </r>
      </text>
    </comment>
    <comment ref="J23" authorId="0">
      <text>
        <r>
          <rPr>
            <sz val="11"/>
            <color indexed="8"/>
            <rFont val="Arial"/>
            <family val="2"/>
          </rPr>
          <t>Chopes no bar</t>
        </r>
      </text>
    </comment>
    <comment ref="J24" authorId="0">
      <text>
        <r>
          <rPr>
            <sz val="11"/>
            <color indexed="8"/>
            <rFont val="Arial"/>
            <family val="2"/>
          </rPr>
          <t>Chope no bar</t>
        </r>
      </text>
    </comment>
    <comment ref="B27" authorId="0">
      <text>
        <r>
          <rPr>
            <sz val="11"/>
            <color indexed="8"/>
            <rFont val="Arial"/>
            <family val="2"/>
          </rPr>
          <t>Duas passagens de ônibus para Kampot (3h de viagem)</t>
        </r>
      </text>
    </comment>
    <comment ref="H27" authorId="0">
      <text>
        <r>
          <rPr>
            <sz val="11"/>
            <color indexed="8"/>
            <rFont val="Arial"/>
            <family val="2"/>
          </rPr>
          <t>Entradas para o campo de extermínio + audio guia e entradas para o presídio + audio guia</t>
        </r>
      </text>
    </comment>
    <comment ref="J27" authorId="0">
      <text>
        <r>
          <rPr>
            <sz val="11"/>
            <color indexed="8"/>
            <rFont val="Arial"/>
            <family val="2"/>
          </rPr>
          <t>Aluguel de uma scooter
Os 5000 cambojanos foi de gasolina</t>
        </r>
      </text>
    </comment>
    <comment ref="B31" authorId="0">
      <text>
        <r>
          <rPr>
            <sz val="11"/>
            <color indexed="8"/>
            <rFont val="Arial"/>
            <family val="2"/>
          </rPr>
          <t>Aluguel da moto + gasolina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Passagem Siem Riep</t>
        </r>
      </text>
    </comment>
    <comment ref="J7" authorId="0">
      <text>
        <r>
          <rPr>
            <sz val="11"/>
            <color indexed="8"/>
            <rFont val="Arial"/>
            <family val="2"/>
          </rPr>
          <t>Gastamos em cerveja assistindo ao jogo no bar</t>
        </r>
      </text>
    </comment>
    <comment ref="B11" authorId="0">
      <text>
        <r>
          <rPr>
            <sz val="11"/>
            <color indexed="8"/>
            <rFont val="Arial"/>
            <family val="2"/>
          </rPr>
          <t>Alugamos duas bicicletas para visitar o Angkor</t>
        </r>
      </text>
    </comment>
    <comment ref="H11" authorId="0">
      <text>
        <r>
          <rPr>
            <sz val="11"/>
            <color indexed="8"/>
            <rFont val="Arial"/>
            <family val="2"/>
          </rPr>
          <t>Duas entradas para o Angkor</t>
        </r>
      </text>
    </comment>
    <comment ref="B12" authorId="0">
      <text>
        <r>
          <rPr>
            <sz val="11"/>
            <color indexed="8"/>
            <rFont val="Arial"/>
            <family val="2"/>
          </rPr>
          <t>Duas passagens para Batam Bang</t>
        </r>
      </text>
    </comment>
    <comment ref="B13" authorId="0">
      <text>
        <r>
          <rPr>
            <sz val="11"/>
            <color indexed="8"/>
            <rFont val="Arial"/>
            <family val="2"/>
          </rPr>
          <t>Tuk tuk da parada do ônibus até o hotel</t>
        </r>
      </text>
    </comment>
    <comment ref="B16" authorId="0">
      <text>
        <r>
          <rPr>
            <sz val="11"/>
            <color indexed="8"/>
            <rFont val="Arial"/>
            <family val="2"/>
          </rPr>
          <t>Passagens para a fronteira</t>
        </r>
      </text>
    </comment>
    <comment ref="D17" authorId="0">
      <text>
        <r>
          <rPr>
            <sz val="11"/>
            <color indexed="8"/>
            <rFont val="Arial"/>
            <family val="2"/>
          </rPr>
          <t>Compramos umas bananas e doamos o dinheiro que sobrou</t>
        </r>
      </text>
    </comment>
    <comment ref="H21" authorId="0">
      <text>
        <r>
          <rPr>
            <sz val="11"/>
            <color indexed="8"/>
            <rFont val="Arial"/>
            <family val="2"/>
          </rPr>
          <t>Entradas para o templo do buda deitado</t>
        </r>
      </text>
    </comment>
    <comment ref="B22" authorId="0">
      <text>
        <r>
          <rPr>
            <sz val="11"/>
            <color indexed="8"/>
            <rFont val="Arial"/>
            <family val="2"/>
          </rPr>
          <t>Duas passagens de barco para a Chinatown</t>
        </r>
      </text>
    </comment>
    <comment ref="H22" authorId="0">
      <text>
        <r>
          <rPr>
            <sz val="11"/>
            <color indexed="8"/>
            <rFont val="Arial"/>
            <family val="2"/>
          </rPr>
          <t>Duas entradas para ver o Buda de ouro</t>
        </r>
      </text>
    </comment>
    <comment ref="J22" authorId="0">
      <text>
        <r>
          <rPr>
            <sz val="11"/>
            <color indexed="8"/>
            <rFont val="Arial"/>
            <family val="2"/>
          </rPr>
          <t>Enchendo um galão de água na rua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ida e volta em ônibus e caminhonetes para dois mercados flutuantes</t>
        </r>
      </text>
    </comment>
    <comment ref="H23" authorId="0">
      <text>
        <r>
          <rPr>
            <sz val="11"/>
            <color indexed="8"/>
            <rFont val="Arial"/>
            <family val="2"/>
          </rPr>
          <t>Passeio de barco pelo canal (20 por pessoa; demos 10 de gorjeta)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de ônibus</t>
        </r>
      </text>
    </comment>
    <comment ref="B30" authorId="0">
      <text>
        <r>
          <rPr>
            <sz val="11"/>
            <color indexed="8"/>
            <rFont val="Arial"/>
            <family val="2"/>
          </rPr>
          <t>Ônibus para ir e voltar do mercado</t>
        </r>
      </text>
    </comment>
    <comment ref="J30" authorId="0">
      <text>
        <r>
          <rPr>
            <sz val="11"/>
            <color indexed="8"/>
            <rFont val="Arial"/>
            <family val="2"/>
          </rPr>
          <t>Água e um shorts novo para a Michele</t>
        </r>
      </text>
    </comment>
    <comment ref="B31" authorId="0">
      <text>
        <r>
          <rPr>
            <sz val="11"/>
            <color indexed="8"/>
            <rFont val="Arial"/>
            <family val="2"/>
          </rPr>
          <t>-Passagens de ida e volta para o terminal de trem;
-passagens de trem até a feira (são duas viagens de trem por trecho);
-Passagem de barco;
-passagem de um ônibus que pegamos errado
-Caminhonete da feira do trem para a feira dos barcos</t>
        </r>
      </text>
    </comment>
  </commentList>
</comments>
</file>

<file path=xl/sharedStrings.xml><?xml version="1.0" encoding="utf-8"?>
<sst xmlns="http://schemas.openxmlformats.org/spreadsheetml/2006/main" count="1475" uniqueCount="272">
  <si>
    <t>Data</t>
  </si>
  <si>
    <t>Valor</t>
  </si>
  <si>
    <t>País</t>
  </si>
  <si>
    <t>Câmbio</t>
  </si>
  <si>
    <t>Valor em Reais</t>
  </si>
  <si>
    <t>Tipo</t>
  </si>
  <si>
    <t>Comissão pela venda de passeios (Moving)</t>
  </si>
  <si>
    <t>Argentina</t>
  </si>
  <si>
    <t>2016-15</t>
  </si>
  <si>
    <t>Total</t>
  </si>
  <si>
    <t>Gorjetas (Moving)</t>
  </si>
  <si>
    <t>Livro</t>
  </si>
  <si>
    <t>Fotos</t>
  </si>
  <si>
    <t>Vendendo garrafa vazia deixada por um hospede</t>
  </si>
  <si>
    <t>Blog</t>
  </si>
  <si>
    <t>Gorjeta dos Chineses (Moving)</t>
  </si>
  <si>
    <t>AirBnb</t>
  </si>
  <si>
    <t>Lvanderia (Moving)</t>
  </si>
  <si>
    <t>Doação</t>
  </si>
  <si>
    <t>Outros</t>
  </si>
  <si>
    <t>Presente de Gisela (Rio Grande): 100 dólares!</t>
  </si>
  <si>
    <t>Encontramos 10 soles na rua</t>
  </si>
  <si>
    <t>Peru</t>
  </si>
  <si>
    <t>Encontramos 1 sol na rua</t>
  </si>
  <si>
    <t>Pagamento pela venda de fotos na web</t>
  </si>
  <si>
    <t>Pagamento Google Adsense (Blog)</t>
  </si>
  <si>
    <t>Achamos 20 dólares na rua!</t>
  </si>
  <si>
    <t>Costa Rica</t>
  </si>
  <si>
    <t>Pagamento venda fotos na web</t>
  </si>
  <si>
    <t>Créditos para o Airbnb (usuários convidados)</t>
  </si>
  <si>
    <t>Doação no nosso site</t>
  </si>
  <si>
    <t>Venda de um livro pelo PayPal</t>
  </si>
  <si>
    <t>2 livros vendidos pelo PayPal</t>
  </si>
  <si>
    <t>Venda de um livro + doação no site</t>
  </si>
  <si>
    <t>Venda de um livro em PDF</t>
  </si>
  <si>
    <t>Venda livro PayPal</t>
  </si>
  <si>
    <t>Encontramos 50 pesos na praia</t>
  </si>
  <si>
    <t>México</t>
  </si>
  <si>
    <t>Encontramos na rua</t>
  </si>
  <si>
    <t>Filipinas</t>
  </si>
  <si>
    <t>Venda livro Mucuvinha</t>
  </si>
  <si>
    <t>Pagamento Amazon (venda livro)</t>
  </si>
  <si>
    <t>Pagamento google Adsense (Blog)</t>
  </si>
  <si>
    <t>Créditos Hoteis.com por reserva errada</t>
  </si>
  <si>
    <t>Créditos Hoteis.com</t>
  </si>
  <si>
    <t>créditos Hoteis.com</t>
  </si>
  <si>
    <t>Mês</t>
  </si>
  <si>
    <t>Dias</t>
  </si>
  <si>
    <t>Total em Reais</t>
  </si>
  <si>
    <t>Média</t>
  </si>
  <si>
    <t>Hospedagem</t>
  </si>
  <si>
    <t>Supermercado</t>
  </si>
  <si>
    <t>Transporte</t>
  </si>
  <si>
    <t>Passeios</t>
  </si>
  <si>
    <t>Restaurantes</t>
  </si>
  <si>
    <t>Vistos</t>
  </si>
  <si>
    <t>Reposição</t>
  </si>
  <si>
    <t>CS</t>
  </si>
  <si>
    <t>Camping</t>
  </si>
  <si>
    <t>Camping selvagem</t>
  </si>
  <si>
    <t>Amigos</t>
  </si>
  <si>
    <t>Hospedagem (hotel/hostel)</t>
  </si>
  <si>
    <t>Noites Rodoviaria</t>
  </si>
  <si>
    <t>Noites bus/barco/avião</t>
  </si>
  <si>
    <t>Trabalhando</t>
  </si>
  <si>
    <t>Hospedagens pagas</t>
  </si>
  <si>
    <t>Hospedagens gratuitas</t>
  </si>
  <si>
    <t>Caronas</t>
  </si>
  <si>
    <t>Set-Out/15</t>
  </si>
  <si>
    <t>Nov/15</t>
  </si>
  <si>
    <t>Dez/15</t>
  </si>
  <si>
    <t>Jan/16</t>
  </si>
  <si>
    <t>Fev/16</t>
  </si>
  <si>
    <t>Mar/16</t>
  </si>
  <si>
    <t>Abril/16</t>
  </si>
  <si>
    <t>Maio/16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</si>
  <si>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</si>
  <si>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</si>
  <si>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</si>
  <si>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</si>
  <si>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</si>
  <si>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</si>
  <si>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</si>
  <si>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</si>
  <si>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</si>
  <si>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</si>
  <si>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Abril/17</t>
  </si>
  <si>
    <t>Maio/17</t>
  </si>
  <si>
    <t>Jun/17</t>
  </si>
  <si>
    <t>Jul/17</t>
  </si>
  <si>
    <t>Ago/17</t>
  </si>
  <si>
    <t>Set/17</t>
  </si>
  <si>
    <t>Out/17</t>
  </si>
  <si>
    <t>Nov/2017</t>
  </si>
  <si>
    <t>Dez/2017</t>
  </si>
  <si>
    <t>Jan/18</t>
  </si>
  <si>
    <t>Fev/18</t>
  </si>
  <si>
    <t>Mar/18</t>
  </si>
  <si>
    <t>Abr/2018</t>
  </si>
  <si>
    <t>Maio/18</t>
  </si>
  <si>
    <t>Jun/2018</t>
  </si>
  <si>
    <t>Jul/2018</t>
  </si>
  <si>
    <t>Ago/2018</t>
  </si>
  <si>
    <t>Set/2018</t>
  </si>
  <si>
    <t>Out/2018</t>
  </si>
  <si>
    <t>Total da Viajona</t>
  </si>
  <si>
    <t>média dia</t>
  </si>
  <si>
    <t>média mensal</t>
  </si>
  <si>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</si>
  <si>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</si>
  <si>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</si>
  <si>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</si>
  <si>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</si>
  <si>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</si>
  <si>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</si>
  <si>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</si>
  <si>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</si>
  <si>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</si>
  <si>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</si>
  <si>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</si>
  <si>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</si>
  <si>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Reposição (R$)</t>
  </si>
  <si>
    <t>Vistos (R$)</t>
  </si>
  <si>
    <t>camping</t>
  </si>
  <si>
    <t>camping selvagem</t>
  </si>
  <si>
    <t>hotel</t>
  </si>
  <si>
    <t>trabalhando</t>
  </si>
  <si>
    <t>amigos</t>
  </si>
  <si>
    <t>cs</t>
  </si>
  <si>
    <t>rodoviaria</t>
  </si>
  <si>
    <t>airbnb</t>
  </si>
  <si>
    <t>Onibus/barco</t>
  </si>
  <si>
    <t>Carona</t>
  </si>
  <si>
    <t>total (moeda local)</t>
  </si>
  <si>
    <t>cambio</t>
  </si>
  <si>
    <t>total r$</t>
  </si>
  <si>
    <t>N País</t>
  </si>
  <si>
    <t>x</t>
  </si>
  <si>
    <t>Boracay</t>
  </si>
  <si>
    <t>total (R$)</t>
  </si>
  <si>
    <t>media</t>
  </si>
  <si>
    <t>total hospedagens gratuitas</t>
  </si>
  <si>
    <t>total Filipinas</t>
  </si>
  <si>
    <t>total Malásia</t>
  </si>
  <si>
    <t>Boracay – Iloilo</t>
  </si>
  <si>
    <t>total hospedagens pagas</t>
  </si>
  <si>
    <t>dias Filipinas</t>
  </si>
  <si>
    <t>dias Malásia</t>
  </si>
  <si>
    <t>Iloilo</t>
  </si>
  <si>
    <t>total hospegagem CS</t>
  </si>
  <si>
    <t>media Filipinas</t>
  </si>
  <si>
    <t>media Malásia</t>
  </si>
  <si>
    <t>Iloilo – San Carlos</t>
  </si>
  <si>
    <t>total de dias</t>
  </si>
  <si>
    <t>total camping</t>
  </si>
  <si>
    <t>San Carlos – Moalboal</t>
  </si>
  <si>
    <t>total hotel/hostel</t>
  </si>
  <si>
    <t>Moalboal</t>
  </si>
  <si>
    <t>médias</t>
  </si>
  <si>
    <t>Moalboal – Bohol</t>
  </si>
  <si>
    <t>total hospedagem</t>
  </si>
  <si>
    <t>total camping selvagem</t>
  </si>
  <si>
    <t>Bohol</t>
  </si>
  <si>
    <t>total transporte</t>
  </si>
  <si>
    <t>total supermercado</t>
  </si>
  <si>
    <t>total restaurante</t>
  </si>
  <si>
    <t xml:space="preserve"> restaurante</t>
  </si>
  <si>
    <t>onibus</t>
  </si>
  <si>
    <t>total outros</t>
  </si>
  <si>
    <t>total passeios</t>
  </si>
  <si>
    <t>Bohol – Barco</t>
  </si>
  <si>
    <t>total reposição</t>
  </si>
  <si>
    <t>Barco – Manila</t>
  </si>
  <si>
    <t>total vistos</t>
  </si>
  <si>
    <t>Manila – Vigan</t>
  </si>
  <si>
    <t>Vigan – Sagada</t>
  </si>
  <si>
    <t>Sagada – Batad</t>
  </si>
  <si>
    <t>caronas</t>
  </si>
  <si>
    <t>Batad</t>
  </si>
  <si>
    <t>Batad – Manila</t>
  </si>
  <si>
    <t>Manila</t>
  </si>
  <si>
    <t>Manila – Kuala Lumpur</t>
  </si>
  <si>
    <t>Kuala Lumpur</t>
  </si>
  <si>
    <t>total Singapura</t>
  </si>
  <si>
    <t>dias Singapura</t>
  </si>
  <si>
    <t>media Singapura</t>
  </si>
  <si>
    <t>Kuala Lumpur – Singapura</t>
  </si>
  <si>
    <t>Singapura</t>
  </si>
  <si>
    <t>Singapura – Malaca</t>
  </si>
  <si>
    <t>Malaca</t>
  </si>
  <si>
    <t>Malaca – Kuala Lumpur</t>
  </si>
  <si>
    <t>Kuala Lumpur – Tanah Rata</t>
  </si>
  <si>
    <t>Tanah Rata</t>
  </si>
  <si>
    <t>Tanah Rata – Jenantut</t>
  </si>
  <si>
    <t>Jerantut (bate-volta Taman Negara)</t>
  </si>
  <si>
    <t>Jerantut</t>
  </si>
  <si>
    <t>jerantut</t>
  </si>
  <si>
    <t>Jerantut – Kuala Lumpur</t>
  </si>
  <si>
    <t>Kuala Lumpur – Kuching</t>
  </si>
  <si>
    <t>Kuching</t>
  </si>
  <si>
    <t>Kuching (Parque)</t>
  </si>
  <si>
    <t>Kuching – Miri</t>
  </si>
  <si>
    <t>Miri</t>
  </si>
  <si>
    <t>Miri – Brunei</t>
  </si>
  <si>
    <t>Brunei</t>
  </si>
  <si>
    <t>Brunei – Labuan</t>
  </si>
  <si>
    <t>Labuan – Kota Kinabalu</t>
  </si>
  <si>
    <t>Kota Kinabalu</t>
  </si>
  <si>
    <t>Kota Kinabalu – Sandakan</t>
  </si>
  <si>
    <t>Sandakan</t>
  </si>
  <si>
    <t>Sandakan – Kota Kinabalu</t>
  </si>
  <si>
    <t>rodoviária/aeroporto</t>
  </si>
  <si>
    <t>Kota Kinabalu – Kuala Lumpur</t>
  </si>
  <si>
    <t>Kuala Lumpur – Jakarta</t>
  </si>
  <si>
    <t>Jakarta</t>
  </si>
  <si>
    <t>Jakarta – Yogiakarta</t>
  </si>
  <si>
    <t>Yogiakarta</t>
  </si>
  <si>
    <t>Yogiakarta – Bali</t>
  </si>
  <si>
    <t>Bali</t>
  </si>
  <si>
    <t>Bali – Labuanbajo</t>
  </si>
  <si>
    <t>Labuanbajo</t>
  </si>
  <si>
    <t>Labuanbajo – Mataram</t>
  </si>
  <si>
    <t>Mataram – Gili</t>
  </si>
  <si>
    <t>Gili</t>
  </si>
  <si>
    <t>Gili – Bali</t>
  </si>
  <si>
    <t>Bali – Phnom Pehn</t>
  </si>
  <si>
    <t>Phnom Penh</t>
  </si>
  <si>
    <t>Phnom Penh – Kampot</t>
  </si>
  <si>
    <t>Kampot</t>
  </si>
  <si>
    <t>kampot</t>
  </si>
  <si>
    <t>Kampot – Siem Reap</t>
  </si>
  <si>
    <t>Siem Reap</t>
  </si>
  <si>
    <t>Siem Reap – Battam Bang</t>
  </si>
  <si>
    <t>Battam Bang</t>
  </si>
  <si>
    <t>Battam Bang – Bangkok</t>
  </si>
  <si>
    <t>Bangkok</t>
  </si>
  <si>
    <t>Bangkok – Ayutthaya</t>
  </si>
  <si>
    <t>Ayutthaya</t>
  </si>
  <si>
    <t>Ayutthaya-Bangkok</t>
  </si>
  <si>
    <t>Bangkok – Chumphon</t>
  </si>
  <si>
    <t>Chumphon</t>
  </si>
  <si>
    <t>Chumphon – Ko Tao</t>
  </si>
  <si>
    <t>Ko Tao</t>
  </si>
  <si>
    <t>Ko Tao – Ko Phangan</t>
  </si>
  <si>
    <t>Ko Phangan</t>
  </si>
  <si>
    <t>Ko Phangan – Chumphon</t>
  </si>
  <si>
    <t>Chumphon – Bangkok</t>
  </si>
  <si>
    <t>Bangkok – Lop Buri</t>
  </si>
  <si>
    <t>Lop Buri</t>
  </si>
  <si>
    <t>Lop Buri – Phitsanulok</t>
  </si>
  <si>
    <t>Phitsanulok</t>
  </si>
  <si>
    <t>Phitsanulok – Sukhothai</t>
  </si>
  <si>
    <t>Sukhothai</t>
  </si>
  <si>
    <t>Sukhothai – Mae Sot</t>
  </si>
  <si>
    <t>Mae Sot – Hpa An</t>
  </si>
  <si>
    <t>Hpa An</t>
  </si>
  <si>
    <t>Hpa An – Mawlamyine</t>
  </si>
  <si>
    <t>Mawlamyine</t>
  </si>
  <si>
    <t>Mawlamyine – Yangon</t>
  </si>
  <si>
    <t>Yangon</t>
  </si>
  <si>
    <t>Yangon – Kalaw</t>
  </si>
  <si>
    <t>Kalaw</t>
  </si>
  <si>
    <t>Kalaw – Inle Lake (trilha)</t>
  </si>
  <si>
    <t>Inle Lake</t>
  </si>
  <si>
    <t>Inle Lake – Kalaw</t>
  </si>
  <si>
    <t>Bagan</t>
  </si>
  <si>
    <t>Bagan – Mandalay</t>
  </si>
  <si>
    <t>Mandalay</t>
  </si>
  <si>
    <t>Mandalay – Yangon</t>
  </si>
  <si>
    <t>Yangon – Mae Sot</t>
  </si>
  <si>
    <t>Mae Sot</t>
  </si>
  <si>
    <t>Mae Sot – Phitsanulok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</si>
</sst>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[$R$-416]\ #,##0.00;[RED]\-[$R$-416]\ #,##0.00"/>
    <numFmt numFmtId="167" formatCode="[$R$-416]\ #,##0.00;[RED]\-[$R$-416]\ #,##0.00"/>
    <numFmt numFmtId="168" formatCode="[$R$-416]\ #,##0.00;\-[$R$-416]\ #,##0.00"/>
    <numFmt numFmtId="169" formatCode="0.00"/>
    <numFmt numFmtId="170" formatCode="D/M/YY"/>
  </numFmts>
  <fonts count="4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4" fontId="0" fillId="6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8" borderId="0" xfId="0" applyNumberFormat="1" applyFill="1" applyAlignment="1">
      <alignment/>
    </xf>
    <xf numFmtId="164" fontId="0" fillId="8" borderId="0" xfId="0" applyNumberFormat="1" applyFill="1" applyAlignment="1">
      <alignment horizontal="center"/>
    </xf>
    <xf numFmtId="164" fontId="0" fillId="9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64" fontId="0" fillId="11" borderId="0" xfId="0" applyNumberFormat="1" applyFill="1" applyAlignment="1">
      <alignment/>
    </xf>
    <xf numFmtId="164" fontId="0" fillId="0" borderId="0" xfId="0" applyNumberFormat="1" applyAlignment="1">
      <alignment horizontal="center" vertical="center"/>
    </xf>
    <xf numFmtId="164" fontId="0" fillId="8" borderId="0" xfId="0" applyNumberFormat="1" applyFont="1" applyFill="1" applyAlignment="1">
      <alignment horizontal="center" vertical="center" wrapText="1" shrinkToFit="1"/>
    </xf>
    <xf numFmtId="164" fontId="0" fillId="9" borderId="0" xfId="0" applyNumberFormat="1" applyFont="1" applyFill="1" applyAlignment="1">
      <alignment horizontal="center" vertical="center" wrapText="1" shrinkToFit="1"/>
    </xf>
    <xf numFmtId="164" fontId="0" fillId="10" borderId="0" xfId="0" applyNumberFormat="1" applyFill="1" applyAlignment="1">
      <alignment horizontal="center" vertical="center" wrapText="1" shrinkToFit="1"/>
    </xf>
    <xf numFmtId="164" fontId="0" fillId="11" borderId="0" xfId="0" applyNumberFormat="1" applyFont="1" applyFill="1" applyAlignment="1">
      <alignment horizontal="center" vertical="center" wrapText="1" shrinkToFit="1"/>
    </xf>
    <xf numFmtId="164" fontId="0" fillId="6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8" borderId="0" xfId="0" applyNumberFormat="1" applyFont="1" applyFill="1" applyAlignment="1">
      <alignment horizontal="center"/>
    </xf>
    <xf numFmtId="166" fontId="0" fillId="9" borderId="0" xfId="0" applyNumberForma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164" fontId="0" fillId="7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99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3"/>
  <sheetViews>
    <sheetView tabSelected="1" zoomScale="95" zoomScaleNormal="95" workbookViewId="0" topLeftCell="E1">
      <selection activeCell="N5" sqref="N5"/>
    </sheetView>
  </sheetViews>
  <sheetFormatPr defaultColWidth="11.00390625" defaultRowHeight="14.25"/>
  <cols>
    <col min="1" max="1" width="2.50390625" style="1" customWidth="1"/>
    <col min="2" max="2" width="10.625" style="1" customWidth="1"/>
    <col min="3" max="3" width="7.25390625" style="1" customWidth="1"/>
    <col min="4" max="4" width="39.875" style="1" customWidth="1"/>
    <col min="5" max="6" width="10.625" style="1" customWidth="1"/>
    <col min="7" max="7" width="12.875" style="1" customWidth="1"/>
    <col min="8" max="8" width="5.50390625" style="1" customWidth="1"/>
    <col min="9" max="10" width="10.625" style="1" customWidth="1"/>
    <col min="11" max="14" width="15.375" style="1" customWidth="1"/>
    <col min="15" max="16" width="10.625" style="1" customWidth="1"/>
    <col min="17" max="17" width="13.25390625" style="1" customWidth="1"/>
    <col min="18" max="16384" width="10.625" style="1" customWidth="1"/>
  </cols>
  <sheetData>
    <row r="1" spans="2:8" ht="14.25">
      <c r="B1" s="1" t="s">
        <v>0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2:17" ht="14.25">
      <c r="B2" s="2">
        <v>42342</v>
      </c>
      <c r="C2" s="1">
        <v>112</v>
      </c>
      <c r="D2" s="1" t="s">
        <v>6</v>
      </c>
      <c r="E2" s="1" t="s">
        <v>7</v>
      </c>
      <c r="F2" s="1">
        <v>0.25</v>
      </c>
      <c r="G2" s="3">
        <f>C2*F2</f>
        <v>28</v>
      </c>
      <c r="H2" s="4">
        <v>1</v>
      </c>
      <c r="K2" s="1">
        <v>2018</v>
      </c>
      <c r="L2" s="1">
        <v>2017</v>
      </c>
      <c r="M2" s="1" t="s">
        <v>8</v>
      </c>
      <c r="N2" s="1" t="s">
        <v>9</v>
      </c>
      <c r="P2"/>
      <c r="Q2"/>
    </row>
    <row r="3" spans="2:17" ht="14.25">
      <c r="B3" s="2">
        <v>42342</v>
      </c>
      <c r="C3" s="1">
        <v>30</v>
      </c>
      <c r="D3" s="1" t="s">
        <v>10</v>
      </c>
      <c r="E3" s="1" t="s">
        <v>7</v>
      </c>
      <c r="F3" s="1">
        <v>0.25</v>
      </c>
      <c r="G3" s="3">
        <f>C3*F3</f>
        <v>7.5</v>
      </c>
      <c r="H3" s="4">
        <v>1</v>
      </c>
      <c r="J3" s="5" t="s">
        <v>11</v>
      </c>
      <c r="K3" s="6">
        <f>SUMIF($H$43:$H$601,"=5",$G$43:$G$601)</f>
        <v>19.52</v>
      </c>
      <c r="L3" s="6">
        <f>SUMIF($H$13:$H$42,"=5",$G$13:$G$42)</f>
        <v>227.40000000000003</v>
      </c>
      <c r="M3" s="6">
        <f>SUMIF($H$2:$H$12,"=5",$G$2:$G$12)</f>
        <v>0</v>
      </c>
      <c r="N3" s="6">
        <f>SUM(K3:M3)</f>
        <v>246.92000000000004</v>
      </c>
      <c r="P3"/>
      <c r="Q3"/>
    </row>
    <row r="4" spans="2:17" ht="14.25">
      <c r="B4" s="2">
        <v>42343</v>
      </c>
      <c r="C4" s="1">
        <v>5</v>
      </c>
      <c r="D4" s="1" t="s">
        <v>10</v>
      </c>
      <c r="E4" s="1" t="s">
        <v>7</v>
      </c>
      <c r="F4" s="1">
        <v>0.25</v>
      </c>
      <c r="G4" s="3">
        <f>C4*F4</f>
        <v>1.25</v>
      </c>
      <c r="H4" s="4">
        <v>1</v>
      </c>
      <c r="J4" s="7" t="s">
        <v>12</v>
      </c>
      <c r="K4" s="8">
        <f>SUMIF($H$43:$H$601,"=2",$G$43:$G$601)</f>
        <v>1767.1689999999999</v>
      </c>
      <c r="L4" s="8">
        <f>SUMIF($H$13:$H$42,"=2",$G$13:$G$42)</f>
        <v>635.9307799999999</v>
      </c>
      <c r="M4" s="8">
        <f>SUMIF($H$2:$H$12,"=2",$G$2:$G$12)</f>
        <v>103.49</v>
      </c>
      <c r="N4" s="8">
        <f>SUM(K4:M4)</f>
        <v>2506.58978</v>
      </c>
      <c r="P4"/>
      <c r="Q4"/>
    </row>
    <row r="5" spans="2:17" ht="14.25">
      <c r="B5" s="2">
        <v>42344</v>
      </c>
      <c r="C5" s="1">
        <v>20</v>
      </c>
      <c r="D5" s="1" t="s">
        <v>13</v>
      </c>
      <c r="E5" s="1" t="s">
        <v>7</v>
      </c>
      <c r="F5" s="1">
        <v>0.25</v>
      </c>
      <c r="G5" s="3">
        <f>C5*F5</f>
        <v>5</v>
      </c>
      <c r="H5" s="4">
        <v>1</v>
      </c>
      <c r="J5" s="9" t="s">
        <v>14</v>
      </c>
      <c r="K5" s="10">
        <f>SUMIF($H$43:$H$601,"=3",$G$43:$G$601)</f>
        <v>1676.36</v>
      </c>
      <c r="L5" s="10">
        <f>SUMIF($H$13:$H$42,"=3",$G$13:$G$42)</f>
        <v>1401.28</v>
      </c>
      <c r="M5" s="10">
        <f>SUMIF($H$2:$H$12,"=3",$G$2:$G$12)</f>
        <v>0</v>
      </c>
      <c r="N5" s="10">
        <f>SUM(K5:M5)</f>
        <v>3077.64</v>
      </c>
      <c r="P5"/>
      <c r="Q5"/>
    </row>
    <row r="6" spans="2:17" ht="14.25">
      <c r="B6" s="2">
        <v>42347</v>
      </c>
      <c r="C6" s="1">
        <v>50</v>
      </c>
      <c r="D6" s="1" t="s">
        <v>15</v>
      </c>
      <c r="E6" s="1" t="s">
        <v>7</v>
      </c>
      <c r="F6" s="1">
        <v>0.25</v>
      </c>
      <c r="G6" s="3">
        <f>C6*F6</f>
        <v>12.5</v>
      </c>
      <c r="H6" s="4">
        <v>1</v>
      </c>
      <c r="J6" s="11" t="s">
        <v>16</v>
      </c>
      <c r="K6" s="12">
        <f>SUMIF($H$43:$H$601,"=4",$G$43:$G$601)</f>
        <v>1155</v>
      </c>
      <c r="L6" s="12">
        <f>SUMIF($H$13:$H$42,"=4",$G$13:$G$42)</f>
        <v>590</v>
      </c>
      <c r="M6" s="12">
        <f>SUMIF($H$2:$H$12,"=4",$G$2:$G$12)</f>
        <v>0</v>
      </c>
      <c r="N6" s="12">
        <f>SUM(K6:M6)</f>
        <v>1745</v>
      </c>
      <c r="P6"/>
      <c r="Q6"/>
    </row>
    <row r="7" spans="2:17" ht="12.75">
      <c r="B7" s="2">
        <v>42351</v>
      </c>
      <c r="C7" s="1">
        <v>20</v>
      </c>
      <c r="D7" s="1" t="s">
        <v>17</v>
      </c>
      <c r="E7" s="1" t="s">
        <v>7</v>
      </c>
      <c r="F7" s="1">
        <v>0.25</v>
      </c>
      <c r="G7" s="3">
        <f>C7*F7</f>
        <v>5</v>
      </c>
      <c r="H7" s="4">
        <v>1</v>
      </c>
      <c r="J7" s="13" t="s">
        <v>18</v>
      </c>
      <c r="K7" s="14">
        <f>SUMIF($H$43:$H$601,"=6",$G$43:$G$601)</f>
        <v>0</v>
      </c>
      <c r="L7" s="14">
        <f>SUMIF($H$13:$H$42,"=6",$G$13:$G$42)</f>
        <v>195.49559999999997</v>
      </c>
      <c r="M7" s="14">
        <f>SUMIF($H$2:$H$12,"=6",$G$2:$G$12)</f>
        <v>400</v>
      </c>
      <c r="N7" s="14">
        <f>SUM(K7:M7)</f>
        <v>595.4956</v>
      </c>
      <c r="P7"/>
      <c r="Q7"/>
    </row>
    <row r="8" spans="2:17" ht="12.75">
      <c r="B8" s="2">
        <v>42352</v>
      </c>
      <c r="C8" s="1">
        <v>250</v>
      </c>
      <c r="D8" s="1" t="s">
        <v>6</v>
      </c>
      <c r="E8" s="1" t="s">
        <v>7</v>
      </c>
      <c r="F8" s="1">
        <v>0.25</v>
      </c>
      <c r="G8" s="3">
        <f>C8*F8</f>
        <v>62.5</v>
      </c>
      <c r="H8" s="4">
        <v>1</v>
      </c>
      <c r="J8" s="1" t="s">
        <v>19</v>
      </c>
      <c r="K8" s="15">
        <f>SUMIF($H$43:$H$601,"=1",$G$43:$G$601)</f>
        <v>283.5</v>
      </c>
      <c r="L8" s="15">
        <f>SUMIF($H$13:$H$42,"=1",$G$13:$G$42)</f>
        <v>75.5315</v>
      </c>
      <c r="M8" s="15">
        <f>SUMIF($H$2:$H$12,"=1",$G$2:$G$12)</f>
        <v>133.85</v>
      </c>
      <c r="N8" s="15">
        <f>SUM(K8:M8)</f>
        <v>492.88149999999996</v>
      </c>
      <c r="P8"/>
      <c r="Q8"/>
    </row>
    <row r="9" spans="2:8" ht="12.75">
      <c r="B9" s="16">
        <v>42423</v>
      </c>
      <c r="C9" s="13">
        <v>100</v>
      </c>
      <c r="D9" s="13" t="s">
        <v>20</v>
      </c>
      <c r="E9" s="13" t="s">
        <v>7</v>
      </c>
      <c r="F9" s="13">
        <v>4</v>
      </c>
      <c r="G9" s="17">
        <f>C9*F9</f>
        <v>400</v>
      </c>
      <c r="H9" s="18">
        <v>6</v>
      </c>
    </row>
    <row r="10" spans="2:14" ht="12.75">
      <c r="B10" s="2">
        <v>42511</v>
      </c>
      <c r="C10" s="1">
        <v>10</v>
      </c>
      <c r="D10" s="1" t="s">
        <v>21</v>
      </c>
      <c r="E10" s="1" t="s">
        <v>22</v>
      </c>
      <c r="F10" s="1">
        <v>1.1</v>
      </c>
      <c r="G10" s="3">
        <f>C10*F10</f>
        <v>11</v>
      </c>
      <c r="H10" s="4">
        <v>1</v>
      </c>
      <c r="J10" s="1" t="s">
        <v>9</v>
      </c>
      <c r="K10" s="19">
        <f>SUM(K3:K9)</f>
        <v>4901.549</v>
      </c>
      <c r="L10" s="19">
        <f>SUM(L3:L9)</f>
        <v>3125.6378799999998</v>
      </c>
      <c r="M10" s="19">
        <f>SUM(M3:M9)</f>
        <v>637.34</v>
      </c>
      <c r="N10" s="19">
        <f>SUM(K10:M10)</f>
        <v>8664.52688</v>
      </c>
    </row>
    <row r="11" spans="2:8" ht="12.75">
      <c r="B11" s="2">
        <v>42516</v>
      </c>
      <c r="C11" s="1">
        <v>1</v>
      </c>
      <c r="D11" s="1" t="s">
        <v>23</v>
      </c>
      <c r="E11" s="1" t="s">
        <v>22</v>
      </c>
      <c r="F11" s="1">
        <v>1.1</v>
      </c>
      <c r="G11" s="3">
        <f>C11*F11</f>
        <v>1.1</v>
      </c>
      <c r="H11" s="4">
        <v>1</v>
      </c>
    </row>
    <row r="12" spans="2:8" ht="12.75">
      <c r="B12" s="20">
        <v>42653</v>
      </c>
      <c r="C12" s="7">
        <v>103.49</v>
      </c>
      <c r="D12" s="7" t="s">
        <v>24</v>
      </c>
      <c r="E12" s="7"/>
      <c r="F12" s="7">
        <v>1</v>
      </c>
      <c r="G12" s="21">
        <f>C12*F12</f>
        <v>103.49</v>
      </c>
      <c r="H12" s="22">
        <v>2</v>
      </c>
    </row>
    <row r="13" spans="2:8" ht="12.75">
      <c r="B13" s="20">
        <v>42745</v>
      </c>
      <c r="C13" s="7">
        <v>111.79</v>
      </c>
      <c r="D13" s="7" t="s">
        <v>24</v>
      </c>
      <c r="E13" s="7"/>
      <c r="F13" s="7">
        <v>1</v>
      </c>
      <c r="G13" s="21">
        <f>C13*F13</f>
        <v>111.79</v>
      </c>
      <c r="H13" s="22">
        <v>2</v>
      </c>
    </row>
    <row r="14" spans="2:8" ht="12.75">
      <c r="B14" s="20">
        <v>42797</v>
      </c>
      <c r="C14" s="7">
        <v>117.59</v>
      </c>
      <c r="D14" s="7" t="s">
        <v>24</v>
      </c>
      <c r="E14" s="7"/>
      <c r="F14" s="7">
        <v>1</v>
      </c>
      <c r="G14" s="21">
        <f>C14*F14</f>
        <v>117.59</v>
      </c>
      <c r="H14" s="22">
        <v>2</v>
      </c>
    </row>
    <row r="15" spans="2:8" ht="12.75">
      <c r="B15" s="23">
        <v>42817</v>
      </c>
      <c r="C15" s="9">
        <v>331.43</v>
      </c>
      <c r="D15" s="9" t="s">
        <v>25</v>
      </c>
      <c r="E15" s="9"/>
      <c r="F15" s="9">
        <v>1</v>
      </c>
      <c r="G15" s="24">
        <f>C15*F15</f>
        <v>331.43</v>
      </c>
      <c r="H15" s="25">
        <v>3</v>
      </c>
    </row>
    <row r="16" spans="2:8" ht="12.75">
      <c r="B16" s="2">
        <v>42844</v>
      </c>
      <c r="C16" s="1">
        <v>20</v>
      </c>
      <c r="D16" s="1" t="s">
        <v>26</v>
      </c>
      <c r="E16" s="1" t="s">
        <v>27</v>
      </c>
      <c r="F16" s="1">
        <v>3.15</v>
      </c>
      <c r="G16" s="3">
        <f>C16*F16</f>
        <v>63</v>
      </c>
      <c r="H16" s="4">
        <v>1</v>
      </c>
    </row>
    <row r="17" spans="2:8" ht="12.75">
      <c r="B17" s="20">
        <v>42902</v>
      </c>
      <c r="C17" s="7">
        <v>177.9</v>
      </c>
      <c r="D17" s="7" t="s">
        <v>28</v>
      </c>
      <c r="E17" s="7"/>
      <c r="F17" s="7">
        <v>1</v>
      </c>
      <c r="G17" s="21">
        <f>C17*F17</f>
        <v>177.9</v>
      </c>
      <c r="H17" s="22">
        <v>2</v>
      </c>
    </row>
    <row r="18" spans="2:8" ht="12.75">
      <c r="B18" s="23">
        <v>42940</v>
      </c>
      <c r="C18" s="9">
        <v>327.9</v>
      </c>
      <c r="D18" s="9" t="s">
        <v>25</v>
      </c>
      <c r="E18" s="9"/>
      <c r="F18" s="9">
        <v>1</v>
      </c>
      <c r="G18" s="24">
        <f>C18*F18</f>
        <v>327.9</v>
      </c>
      <c r="H18" s="25">
        <v>3</v>
      </c>
    </row>
    <row r="19" spans="2:8" ht="12.75">
      <c r="B19" s="26">
        <v>42944</v>
      </c>
      <c r="C19" s="11">
        <v>240</v>
      </c>
      <c r="D19" s="11" t="s">
        <v>29</v>
      </c>
      <c r="E19" s="11"/>
      <c r="F19" s="11">
        <v>1</v>
      </c>
      <c r="G19" s="27">
        <f>C19*F19</f>
        <v>240</v>
      </c>
      <c r="H19" s="28">
        <v>4</v>
      </c>
    </row>
    <row r="20" spans="2:8" ht="12.75">
      <c r="B20" s="26">
        <v>42957</v>
      </c>
      <c r="C20" s="11">
        <v>50</v>
      </c>
      <c r="D20" s="11" t="s">
        <v>29</v>
      </c>
      <c r="E20" s="11"/>
      <c r="F20" s="11">
        <v>1</v>
      </c>
      <c r="G20" s="27">
        <f>C20*F20</f>
        <v>50</v>
      </c>
      <c r="H20" s="28">
        <v>4</v>
      </c>
    </row>
    <row r="21" spans="2:8" ht="12.75">
      <c r="B21" s="20">
        <v>42985</v>
      </c>
      <c r="C21" s="7">
        <v>34.72</v>
      </c>
      <c r="D21" s="7" t="s">
        <v>28</v>
      </c>
      <c r="E21" s="7"/>
      <c r="F21" s="7">
        <v>3.03</v>
      </c>
      <c r="G21" s="21">
        <f>C21*F21</f>
        <v>105.20159999999998</v>
      </c>
      <c r="H21" s="22">
        <v>2</v>
      </c>
    </row>
    <row r="22" spans="2:8" ht="12.75">
      <c r="B22" s="16">
        <v>42988</v>
      </c>
      <c r="C22" s="13">
        <v>64.52</v>
      </c>
      <c r="D22" s="13" t="s">
        <v>30</v>
      </c>
      <c r="E22" s="13"/>
      <c r="F22" s="13">
        <v>3.03</v>
      </c>
      <c r="G22" s="17">
        <f>C22*F22</f>
        <v>195.49559999999997</v>
      </c>
      <c r="H22" s="18">
        <v>6</v>
      </c>
    </row>
    <row r="23" spans="2:8" ht="12.75">
      <c r="B23" s="26">
        <v>42967</v>
      </c>
      <c r="C23" s="11">
        <v>50</v>
      </c>
      <c r="D23" s="11" t="s">
        <v>29</v>
      </c>
      <c r="E23" s="11"/>
      <c r="F23" s="11">
        <v>1</v>
      </c>
      <c r="G23" s="27">
        <f>C23*F23</f>
        <v>50</v>
      </c>
      <c r="H23" s="28">
        <v>4</v>
      </c>
    </row>
    <row r="24" spans="2:8" ht="12.75">
      <c r="B24" s="29">
        <v>43005</v>
      </c>
      <c r="C24" s="5">
        <v>8.81</v>
      </c>
      <c r="D24" s="5" t="s">
        <v>31</v>
      </c>
      <c r="E24" s="5"/>
      <c r="F24" s="5">
        <v>1</v>
      </c>
      <c r="G24" s="30">
        <f>C24*F24</f>
        <v>8.81</v>
      </c>
      <c r="H24" s="31">
        <v>5</v>
      </c>
    </row>
    <row r="25" spans="2:8" ht="12.75">
      <c r="B25" s="29">
        <v>42981</v>
      </c>
      <c r="C25" s="5">
        <f>8.81*2</f>
        <v>17.62</v>
      </c>
      <c r="D25" s="5" t="s">
        <v>32</v>
      </c>
      <c r="E25" s="5"/>
      <c r="F25" s="5">
        <v>1</v>
      </c>
      <c r="G25" s="30">
        <f>C25*F25</f>
        <v>17.62</v>
      </c>
      <c r="H25" s="31">
        <v>5</v>
      </c>
    </row>
    <row r="26" spans="2:8" ht="12.75">
      <c r="B26" s="23">
        <v>43033</v>
      </c>
      <c r="C26" s="9">
        <v>393</v>
      </c>
      <c r="D26" s="9" t="s">
        <v>25</v>
      </c>
      <c r="E26" s="9"/>
      <c r="F26" s="9">
        <v>1</v>
      </c>
      <c r="G26" s="24">
        <f>C26*F26</f>
        <v>393</v>
      </c>
      <c r="H26" s="25">
        <v>3</v>
      </c>
    </row>
    <row r="27" spans="2:8" ht="12.75">
      <c r="B27" s="29">
        <v>43040</v>
      </c>
      <c r="C27" s="5">
        <v>100</v>
      </c>
      <c r="D27" s="5" t="s">
        <v>33</v>
      </c>
      <c r="E27" s="5"/>
      <c r="F27" s="5">
        <v>1</v>
      </c>
      <c r="G27" s="30">
        <f>C27*F27</f>
        <v>100</v>
      </c>
      <c r="H27" s="31">
        <v>5</v>
      </c>
    </row>
    <row r="28" spans="2:8" ht="12.75">
      <c r="B28" s="29">
        <v>43041</v>
      </c>
      <c r="C28" s="5">
        <v>8.81</v>
      </c>
      <c r="D28" s="5" t="s">
        <v>31</v>
      </c>
      <c r="E28" s="5"/>
      <c r="F28" s="5">
        <v>1</v>
      </c>
      <c r="G28" s="30">
        <f>C28*F28</f>
        <v>8.81</v>
      </c>
      <c r="H28" s="31">
        <v>5</v>
      </c>
    </row>
    <row r="29" spans="2:8" ht="12.75">
      <c r="B29" s="26">
        <v>43042</v>
      </c>
      <c r="C29" s="11">
        <v>50</v>
      </c>
      <c r="D29" s="11" t="s">
        <v>29</v>
      </c>
      <c r="E29" s="11"/>
      <c r="F29" s="11">
        <v>1</v>
      </c>
      <c r="G29" s="27">
        <f>C29*F29</f>
        <v>50</v>
      </c>
      <c r="H29" s="28">
        <v>4</v>
      </c>
    </row>
    <row r="30" spans="2:8" ht="12.75">
      <c r="B30" s="26">
        <v>43044</v>
      </c>
      <c r="C30" s="11">
        <v>50</v>
      </c>
      <c r="D30" s="11" t="s">
        <v>29</v>
      </c>
      <c r="E30" s="11"/>
      <c r="F30" s="11">
        <v>1</v>
      </c>
      <c r="G30" s="27">
        <f>C30*F30</f>
        <v>50</v>
      </c>
      <c r="H30" s="28">
        <v>4</v>
      </c>
    </row>
    <row r="31" spans="2:8" ht="12.75">
      <c r="B31" s="29">
        <v>43045</v>
      </c>
      <c r="C31" s="5">
        <v>9.9</v>
      </c>
      <c r="D31" s="5" t="s">
        <v>34</v>
      </c>
      <c r="E31" s="5"/>
      <c r="F31" s="5">
        <v>1</v>
      </c>
      <c r="G31" s="30">
        <f>C31*F31</f>
        <v>9.9</v>
      </c>
      <c r="H31" s="31">
        <v>5</v>
      </c>
    </row>
    <row r="32" spans="2:8" ht="12.75">
      <c r="B32" s="29">
        <v>43046</v>
      </c>
      <c r="C32" s="5">
        <v>50</v>
      </c>
      <c r="D32" s="5" t="s">
        <v>33</v>
      </c>
      <c r="E32" s="5"/>
      <c r="F32" s="5">
        <v>1</v>
      </c>
      <c r="G32" s="30">
        <f>C32*F32</f>
        <v>50</v>
      </c>
      <c r="H32" s="31">
        <v>5</v>
      </c>
    </row>
    <row r="33" spans="2:8" ht="12.75">
      <c r="B33" s="20">
        <v>43047</v>
      </c>
      <c r="C33" s="7">
        <v>39.29</v>
      </c>
      <c r="D33" s="7" t="s">
        <v>24</v>
      </c>
      <c r="E33" s="7"/>
      <c r="F33" s="7">
        <v>3.142</v>
      </c>
      <c r="G33" s="21">
        <f>C33*F33</f>
        <v>123.44918</v>
      </c>
      <c r="H33" s="22">
        <v>2</v>
      </c>
    </row>
    <row r="34" spans="2:8" ht="12.75">
      <c r="B34" s="29">
        <v>43048</v>
      </c>
      <c r="C34" s="5">
        <v>8.8</v>
      </c>
      <c r="D34" s="5" t="s">
        <v>35</v>
      </c>
      <c r="E34" s="5"/>
      <c r="F34" s="5">
        <v>1</v>
      </c>
      <c r="G34" s="30">
        <f>C34*F34</f>
        <v>8.8</v>
      </c>
      <c r="H34" s="31">
        <v>5</v>
      </c>
    </row>
    <row r="35" spans="2:8" ht="12.75">
      <c r="B35" s="2">
        <v>43049</v>
      </c>
      <c r="C35" s="1">
        <v>50</v>
      </c>
      <c r="D35" s="1" t="s">
        <v>36</v>
      </c>
      <c r="E35" s="1" t="s">
        <v>37</v>
      </c>
      <c r="F35" s="1">
        <v>0.18</v>
      </c>
      <c r="G35" s="3">
        <f>C35*F35</f>
        <v>9</v>
      </c>
      <c r="H35" s="4">
        <v>1</v>
      </c>
    </row>
    <row r="36" spans="2:8" ht="12.75">
      <c r="B36" s="26">
        <v>43060</v>
      </c>
      <c r="C36" s="11">
        <v>50</v>
      </c>
      <c r="D36" s="11" t="s">
        <v>29</v>
      </c>
      <c r="E36" s="11"/>
      <c r="F36" s="11">
        <v>1</v>
      </c>
      <c r="G36" s="27">
        <f>C36*F36</f>
        <v>50</v>
      </c>
      <c r="H36" s="28">
        <v>4</v>
      </c>
    </row>
    <row r="37" spans="2:8" ht="12.75">
      <c r="B37" s="26">
        <v>43062</v>
      </c>
      <c r="C37" s="11">
        <v>50</v>
      </c>
      <c r="D37" s="11" t="s">
        <v>29</v>
      </c>
      <c r="E37" s="11"/>
      <c r="F37" s="11">
        <v>1</v>
      </c>
      <c r="G37" s="27">
        <f>C37*F37</f>
        <v>50</v>
      </c>
      <c r="H37" s="28">
        <v>4</v>
      </c>
    </row>
    <row r="38" spans="2:8" ht="12.75">
      <c r="B38" s="26">
        <v>43063</v>
      </c>
      <c r="C38" s="11">
        <v>50</v>
      </c>
      <c r="D38" s="11" t="s">
        <v>29</v>
      </c>
      <c r="E38" s="11"/>
      <c r="F38" s="11">
        <v>1</v>
      </c>
      <c r="G38" s="27">
        <f>C38*F38</f>
        <v>50</v>
      </c>
      <c r="H38" s="28">
        <v>4</v>
      </c>
    </row>
    <row r="39" spans="2:8" ht="12.75">
      <c r="B39" s="2">
        <v>43054</v>
      </c>
      <c r="C39" s="1">
        <v>50</v>
      </c>
      <c r="D39" s="1" t="s">
        <v>38</v>
      </c>
      <c r="E39" s="1" t="s">
        <v>39</v>
      </c>
      <c r="F39" s="32">
        <v>0.07063000000000001</v>
      </c>
      <c r="G39" s="3">
        <f>C39*F39</f>
        <v>3.5315000000000007</v>
      </c>
      <c r="H39" s="4">
        <v>1</v>
      </c>
    </row>
    <row r="40" spans="2:8" ht="12.75">
      <c r="B40" s="29">
        <v>43063</v>
      </c>
      <c r="C40" s="5">
        <v>20</v>
      </c>
      <c r="D40" s="5" t="s">
        <v>40</v>
      </c>
      <c r="E40" s="5"/>
      <c r="F40" s="5">
        <v>1</v>
      </c>
      <c r="G40" s="30">
        <f>C40*F40</f>
        <v>20</v>
      </c>
      <c r="H40" s="31">
        <v>5</v>
      </c>
    </row>
    <row r="41" spans="2:8" ht="12.75">
      <c r="B41" s="23">
        <v>43097</v>
      </c>
      <c r="C41" s="9">
        <v>348.95</v>
      </c>
      <c r="D41" s="9" t="s">
        <v>25</v>
      </c>
      <c r="E41" s="9"/>
      <c r="F41" s="9">
        <v>1</v>
      </c>
      <c r="G41" s="24">
        <f>C41*F41</f>
        <v>348.95</v>
      </c>
      <c r="H41" s="25">
        <v>3</v>
      </c>
    </row>
    <row r="42" spans="2:8" ht="12.75">
      <c r="B42" s="29">
        <v>43098</v>
      </c>
      <c r="C42" s="5">
        <v>3.46</v>
      </c>
      <c r="D42" s="5" t="s">
        <v>41</v>
      </c>
      <c r="E42" s="5"/>
      <c r="F42" s="5">
        <v>1</v>
      </c>
      <c r="G42" s="30">
        <f>C42*F42</f>
        <v>3.46</v>
      </c>
      <c r="H42" s="31">
        <v>5</v>
      </c>
    </row>
    <row r="43" spans="2:8" ht="12.75">
      <c r="B43" s="29">
        <v>43102</v>
      </c>
      <c r="C43" s="5">
        <v>8.8</v>
      </c>
      <c r="D43" s="5" t="s">
        <v>40</v>
      </c>
      <c r="E43" s="5"/>
      <c r="F43" s="5">
        <v>1</v>
      </c>
      <c r="G43" s="30">
        <f>C43*F43</f>
        <v>8.8</v>
      </c>
      <c r="H43" s="31">
        <v>5</v>
      </c>
    </row>
    <row r="44" spans="2:8" ht="12.75">
      <c r="B44" s="26">
        <v>43109</v>
      </c>
      <c r="C44" s="11">
        <v>50</v>
      </c>
      <c r="D44" s="11" t="s">
        <v>29</v>
      </c>
      <c r="E44" s="11"/>
      <c r="F44" s="11">
        <v>1</v>
      </c>
      <c r="G44" s="27">
        <f>C44*F44</f>
        <v>50</v>
      </c>
      <c r="H44" s="28">
        <v>4</v>
      </c>
    </row>
    <row r="45" spans="2:8" ht="12.75">
      <c r="B45" s="26">
        <v>43111</v>
      </c>
      <c r="C45" s="11">
        <v>50</v>
      </c>
      <c r="D45" s="11" t="s">
        <v>29</v>
      </c>
      <c r="E45" s="11"/>
      <c r="F45" s="11">
        <v>1</v>
      </c>
      <c r="G45" s="27">
        <f>C45*F45</f>
        <v>50</v>
      </c>
      <c r="H45" s="28">
        <v>4</v>
      </c>
    </row>
    <row r="46" spans="2:8" ht="12.75">
      <c r="B46" s="20">
        <v>43111</v>
      </c>
      <c r="C46" s="7">
        <v>209.53</v>
      </c>
      <c r="D46" s="7" t="s">
        <v>28</v>
      </c>
      <c r="E46" s="7"/>
      <c r="F46" s="7">
        <v>1</v>
      </c>
      <c r="G46" s="21">
        <f>C46*F46</f>
        <v>209.53</v>
      </c>
      <c r="H46" s="22">
        <v>2</v>
      </c>
    </row>
    <row r="47" spans="2:8" ht="12.75">
      <c r="B47" s="26">
        <v>43120</v>
      </c>
      <c r="C47" s="11">
        <v>50</v>
      </c>
      <c r="D47" s="11" t="s">
        <v>29</v>
      </c>
      <c r="E47" s="11"/>
      <c r="F47" s="11">
        <v>1</v>
      </c>
      <c r="G47" s="27">
        <f>C47*F47</f>
        <v>50</v>
      </c>
      <c r="H47" s="28">
        <v>4</v>
      </c>
    </row>
    <row r="48" spans="2:8" ht="12.75">
      <c r="B48" s="26">
        <v>43122</v>
      </c>
      <c r="C48" s="11">
        <v>50</v>
      </c>
      <c r="D48" s="11" t="s">
        <v>29</v>
      </c>
      <c r="E48" s="11"/>
      <c r="F48" s="11">
        <v>1</v>
      </c>
      <c r="G48" s="27">
        <f>C48*F48</f>
        <v>50</v>
      </c>
      <c r="H48" s="28">
        <v>4</v>
      </c>
    </row>
    <row r="49" spans="2:8" ht="12.75">
      <c r="B49" s="29">
        <v>43133</v>
      </c>
      <c r="C49" s="5">
        <v>5.2</v>
      </c>
      <c r="D49" s="5" t="s">
        <v>41</v>
      </c>
      <c r="E49" s="5"/>
      <c r="F49" s="5">
        <v>1</v>
      </c>
      <c r="G49" s="30">
        <f>C49*F49</f>
        <v>5.2</v>
      </c>
      <c r="H49" s="31">
        <v>5</v>
      </c>
    </row>
    <row r="50" spans="2:8" ht="12.75">
      <c r="B50" s="26">
        <v>43138</v>
      </c>
      <c r="C50" s="11">
        <v>50</v>
      </c>
      <c r="D50" s="11" t="s">
        <v>29</v>
      </c>
      <c r="E50" s="11"/>
      <c r="F50" s="11">
        <v>1</v>
      </c>
      <c r="G50" s="27">
        <f>C50*F50</f>
        <v>50</v>
      </c>
      <c r="H50" s="28">
        <v>4</v>
      </c>
    </row>
    <row r="51" spans="2:8" ht="12.75">
      <c r="B51" s="20">
        <v>43143</v>
      </c>
      <c r="C51" s="7">
        <v>117.85</v>
      </c>
      <c r="D51" s="7" t="s">
        <v>28</v>
      </c>
      <c r="E51" s="7"/>
      <c r="F51" s="7">
        <v>1</v>
      </c>
      <c r="G51" s="21">
        <f>C51*F51</f>
        <v>117.85</v>
      </c>
      <c r="H51" s="22">
        <v>2</v>
      </c>
    </row>
    <row r="52" spans="2:8" ht="12.75">
      <c r="B52" s="26">
        <v>43148</v>
      </c>
      <c r="C52" s="11">
        <v>50</v>
      </c>
      <c r="D52" s="11" t="s">
        <v>29</v>
      </c>
      <c r="E52" s="11"/>
      <c r="F52" s="11">
        <v>1</v>
      </c>
      <c r="G52" s="27">
        <f>C52*F52</f>
        <v>50</v>
      </c>
      <c r="H52" s="28">
        <v>4</v>
      </c>
    </row>
    <row r="53" spans="2:8" ht="12.75">
      <c r="B53" s="23">
        <v>43154</v>
      </c>
      <c r="C53" s="9">
        <v>331.97</v>
      </c>
      <c r="D53" s="9" t="s">
        <v>42</v>
      </c>
      <c r="E53" s="9"/>
      <c r="F53" s="9">
        <v>1</v>
      </c>
      <c r="G53" s="24">
        <f>C53*F53</f>
        <v>331.97</v>
      </c>
      <c r="H53" s="25">
        <v>3</v>
      </c>
    </row>
    <row r="54" spans="2:8" ht="12.75">
      <c r="B54" s="29">
        <v>43159</v>
      </c>
      <c r="C54" s="5">
        <v>2.76</v>
      </c>
      <c r="D54" s="5" t="s">
        <v>41</v>
      </c>
      <c r="E54" s="5"/>
      <c r="F54" s="5">
        <v>1</v>
      </c>
      <c r="G54" s="30">
        <f>C54*F54</f>
        <v>2.76</v>
      </c>
      <c r="H54" s="31">
        <v>5</v>
      </c>
    </row>
    <row r="55" spans="2:8" ht="12.75">
      <c r="B55" s="26">
        <v>43162</v>
      </c>
      <c r="C55" s="11">
        <v>50</v>
      </c>
      <c r="D55" s="11" t="s">
        <v>29</v>
      </c>
      <c r="E55" s="11"/>
      <c r="F55" s="11">
        <v>1</v>
      </c>
      <c r="G55" s="27">
        <f>C55*F55</f>
        <v>50</v>
      </c>
      <c r="H55" s="28">
        <v>4</v>
      </c>
    </row>
    <row r="56" spans="2:8" ht="12.75">
      <c r="B56" s="20">
        <v>43167</v>
      </c>
      <c r="C56" s="7">
        <v>45.7</v>
      </c>
      <c r="D56" s="7" t="s">
        <v>28</v>
      </c>
      <c r="E56" s="7"/>
      <c r="F56" s="7">
        <v>3.14</v>
      </c>
      <c r="G56" s="21">
        <f>C56*F56</f>
        <v>143.49800000000002</v>
      </c>
      <c r="H56" s="22">
        <v>2</v>
      </c>
    </row>
    <row r="57" spans="2:8" ht="12.75">
      <c r="B57" s="26">
        <v>43175</v>
      </c>
      <c r="C57" s="11">
        <v>65</v>
      </c>
      <c r="D57" s="11" t="s">
        <v>29</v>
      </c>
      <c r="E57" s="11"/>
      <c r="F57" s="11">
        <v>1</v>
      </c>
      <c r="G57" s="27">
        <f>C57*F57</f>
        <v>65</v>
      </c>
      <c r="H57" s="28">
        <v>4</v>
      </c>
    </row>
    <row r="58" spans="2:8" ht="12.75">
      <c r="B58" s="26">
        <v>43182</v>
      </c>
      <c r="C58" s="11">
        <v>50</v>
      </c>
      <c r="D58" s="11" t="s">
        <v>29</v>
      </c>
      <c r="E58" s="11"/>
      <c r="F58" s="11">
        <v>1</v>
      </c>
      <c r="G58" s="27">
        <f>C58*F58</f>
        <v>50</v>
      </c>
      <c r="H58" s="28">
        <v>4</v>
      </c>
    </row>
    <row r="59" spans="2:8" ht="12.75">
      <c r="B59" s="26">
        <v>43192</v>
      </c>
      <c r="C59" s="11">
        <v>50</v>
      </c>
      <c r="D59" s="11" t="s">
        <v>29</v>
      </c>
      <c r="E59" s="11"/>
      <c r="F59" s="11">
        <v>1</v>
      </c>
      <c r="G59" s="27">
        <f>C59*F59</f>
        <v>50</v>
      </c>
      <c r="H59" s="28">
        <v>4</v>
      </c>
    </row>
    <row r="60" spans="2:8" ht="12.75">
      <c r="B60" s="26">
        <v>43219</v>
      </c>
      <c r="C60" s="11">
        <v>50</v>
      </c>
      <c r="D60" s="11" t="s">
        <v>29</v>
      </c>
      <c r="E60" s="11"/>
      <c r="F60" s="11">
        <v>1</v>
      </c>
      <c r="G60" s="27">
        <f>C60*F60</f>
        <v>50</v>
      </c>
      <c r="H60" s="28">
        <v>4</v>
      </c>
    </row>
    <row r="61" spans="2:8" ht="12.75">
      <c r="B61" s="26">
        <v>43222</v>
      </c>
      <c r="C61" s="11">
        <v>65</v>
      </c>
      <c r="D61" s="11" t="s">
        <v>29</v>
      </c>
      <c r="E61" s="11"/>
      <c r="F61" s="11">
        <v>1</v>
      </c>
      <c r="G61" s="27">
        <f>C61*F61</f>
        <v>65</v>
      </c>
      <c r="H61" s="28">
        <v>4</v>
      </c>
    </row>
    <row r="62" spans="2:8" ht="12.75">
      <c r="B62" s="26">
        <v>43223</v>
      </c>
      <c r="C62" s="11">
        <v>65</v>
      </c>
      <c r="D62" s="11" t="s">
        <v>29</v>
      </c>
      <c r="E62" s="11"/>
      <c r="F62" s="11">
        <v>1</v>
      </c>
      <c r="G62" s="27">
        <f>C62*F62</f>
        <v>65</v>
      </c>
      <c r="H62" s="28">
        <v>4</v>
      </c>
    </row>
    <row r="63" spans="2:8" ht="12.75">
      <c r="B63" s="20">
        <v>43228</v>
      </c>
      <c r="C63" s="7">
        <v>68</v>
      </c>
      <c r="D63" s="7" t="s">
        <v>28</v>
      </c>
      <c r="E63" s="7"/>
      <c r="F63" s="7">
        <v>3.5</v>
      </c>
      <c r="G63" s="21">
        <f>C63*F63</f>
        <v>238</v>
      </c>
      <c r="H63" s="22">
        <v>2</v>
      </c>
    </row>
    <row r="64" spans="2:8" ht="12.75">
      <c r="B64" s="26">
        <v>43232</v>
      </c>
      <c r="C64" s="11">
        <v>50</v>
      </c>
      <c r="D64" s="11" t="s">
        <v>29</v>
      </c>
      <c r="E64" s="11"/>
      <c r="F64" s="11">
        <v>1</v>
      </c>
      <c r="G64" s="27">
        <f>C64*F64</f>
        <v>50</v>
      </c>
      <c r="H64" s="28">
        <v>4</v>
      </c>
    </row>
    <row r="65" spans="2:8" ht="12.75">
      <c r="B65" s="26">
        <v>43233</v>
      </c>
      <c r="C65" s="11">
        <v>65</v>
      </c>
      <c r="D65" s="11" t="s">
        <v>29</v>
      </c>
      <c r="E65" s="11"/>
      <c r="F65" s="11">
        <v>1</v>
      </c>
      <c r="G65" s="27">
        <f>C65*F65</f>
        <v>65</v>
      </c>
      <c r="H65" s="28">
        <v>4</v>
      </c>
    </row>
    <row r="66" spans="2:8" ht="12.75">
      <c r="B66" s="23">
        <v>43243</v>
      </c>
      <c r="C66" s="9">
        <v>411.84</v>
      </c>
      <c r="D66" s="9" t="s">
        <v>42</v>
      </c>
      <c r="E66" s="9"/>
      <c r="F66" s="9">
        <v>1</v>
      </c>
      <c r="G66" s="24">
        <f>C66*F66</f>
        <v>411.84</v>
      </c>
      <c r="H66" s="25">
        <v>3</v>
      </c>
    </row>
    <row r="67" spans="2:8" ht="12.75">
      <c r="B67" s="2">
        <v>43267</v>
      </c>
      <c r="C67" s="1">
        <v>75</v>
      </c>
      <c r="D67" s="1" t="s">
        <v>43</v>
      </c>
      <c r="F67" s="1">
        <v>1</v>
      </c>
      <c r="G67" s="33">
        <f>C67*F67</f>
        <v>75</v>
      </c>
      <c r="H67" s="4">
        <v>1</v>
      </c>
    </row>
    <row r="68" spans="2:8" ht="12.75">
      <c r="B68" s="2">
        <v>43281</v>
      </c>
      <c r="C68" s="1">
        <v>23.87</v>
      </c>
      <c r="D68" s="1" t="s">
        <v>44</v>
      </c>
      <c r="F68" s="1">
        <v>1</v>
      </c>
      <c r="G68" s="3">
        <f>C68*F68</f>
        <v>23.87</v>
      </c>
      <c r="H68" s="4">
        <v>1</v>
      </c>
    </row>
    <row r="69" spans="2:8" ht="12.75">
      <c r="B69" s="29">
        <v>43281</v>
      </c>
      <c r="C69" s="5">
        <v>2.76</v>
      </c>
      <c r="D69" s="5" t="s">
        <v>41</v>
      </c>
      <c r="E69" s="5"/>
      <c r="F69" s="5">
        <v>1</v>
      </c>
      <c r="G69" s="30">
        <f>C69*F69</f>
        <v>2.76</v>
      </c>
      <c r="H69" s="31">
        <v>5</v>
      </c>
    </row>
    <row r="70" spans="2:8" ht="12.75">
      <c r="B70" s="20">
        <v>43287</v>
      </c>
      <c r="C70" s="7">
        <v>60.52</v>
      </c>
      <c r="D70" s="7" t="s">
        <v>28</v>
      </c>
      <c r="E70" s="7"/>
      <c r="F70" s="7">
        <v>3.8</v>
      </c>
      <c r="G70" s="21">
        <f>C70*F70</f>
        <v>229.976</v>
      </c>
      <c r="H70" s="22">
        <v>2</v>
      </c>
    </row>
    <row r="71" spans="2:8" ht="12.75">
      <c r="B71" s="26">
        <v>43301</v>
      </c>
      <c r="C71" s="11">
        <v>65</v>
      </c>
      <c r="D71" s="11" t="s">
        <v>29</v>
      </c>
      <c r="E71" s="11"/>
      <c r="F71" s="11">
        <v>1</v>
      </c>
      <c r="G71" s="27">
        <f>C71*F71</f>
        <v>65</v>
      </c>
      <c r="H71" s="28">
        <v>4</v>
      </c>
    </row>
    <row r="72" spans="2:8" ht="12.75">
      <c r="B72" s="2">
        <v>43306</v>
      </c>
      <c r="C72" s="1">
        <v>27.67</v>
      </c>
      <c r="D72" s="1" t="s">
        <v>44</v>
      </c>
      <c r="F72" s="1">
        <v>1</v>
      </c>
      <c r="G72" s="3">
        <f>C72*F72</f>
        <v>27.67</v>
      </c>
      <c r="H72" s="4">
        <v>1</v>
      </c>
    </row>
    <row r="73" spans="2:8" ht="12.75">
      <c r="B73" s="26">
        <v>43312</v>
      </c>
      <c r="C73" s="11">
        <v>65</v>
      </c>
      <c r="D73" s="11" t="s">
        <v>29</v>
      </c>
      <c r="E73" s="11"/>
      <c r="F73" s="11">
        <v>1</v>
      </c>
      <c r="G73" s="27">
        <f>C73*F73</f>
        <v>65</v>
      </c>
      <c r="H73" s="28">
        <v>4</v>
      </c>
    </row>
    <row r="74" spans="2:8" ht="12.75">
      <c r="B74" s="20">
        <v>43316</v>
      </c>
      <c r="C74" s="7">
        <v>38.18</v>
      </c>
      <c r="D74" s="7" t="s">
        <v>28</v>
      </c>
      <c r="E74" s="7"/>
      <c r="F74" s="7">
        <v>3.75</v>
      </c>
      <c r="G74" s="21">
        <f>C74*F74</f>
        <v>143.175</v>
      </c>
      <c r="H74" s="22">
        <v>2</v>
      </c>
    </row>
    <row r="75" spans="2:8" ht="12.75">
      <c r="B75" s="2">
        <v>43320</v>
      </c>
      <c r="C75" s="1">
        <v>29</v>
      </c>
      <c r="D75" s="1" t="s">
        <v>45</v>
      </c>
      <c r="F75" s="1">
        <v>1</v>
      </c>
      <c r="G75" s="3">
        <f>C75*F75</f>
        <v>29</v>
      </c>
      <c r="H75" s="4">
        <v>1</v>
      </c>
    </row>
    <row r="76" spans="2:8" ht="12.75">
      <c r="B76" s="26">
        <v>43324</v>
      </c>
      <c r="C76" s="11">
        <v>50</v>
      </c>
      <c r="D76" s="11" t="s">
        <v>29</v>
      </c>
      <c r="E76" s="11"/>
      <c r="F76" s="11">
        <v>1</v>
      </c>
      <c r="G76" s="27">
        <f>C76*F76</f>
        <v>50</v>
      </c>
      <c r="H76" s="28">
        <v>4</v>
      </c>
    </row>
    <row r="77" spans="2:8" ht="12.75">
      <c r="B77" s="23">
        <v>43337</v>
      </c>
      <c r="C77" s="9">
        <v>490</v>
      </c>
      <c r="D77" s="9" t="s">
        <v>42</v>
      </c>
      <c r="E77" s="9"/>
      <c r="F77" s="9">
        <v>1</v>
      </c>
      <c r="G77" s="24">
        <f>C77*F77</f>
        <v>490</v>
      </c>
      <c r="H77" s="25">
        <v>3</v>
      </c>
    </row>
    <row r="78" spans="2:8" ht="12.75">
      <c r="B78" s="2">
        <v>43339</v>
      </c>
      <c r="C78" s="1">
        <v>32</v>
      </c>
      <c r="D78" s="1" t="s">
        <v>45</v>
      </c>
      <c r="F78" s="1">
        <v>1</v>
      </c>
      <c r="G78" s="3">
        <f>C78*F78</f>
        <v>32</v>
      </c>
      <c r="H78" s="4">
        <v>1</v>
      </c>
    </row>
    <row r="79" spans="2:8" ht="12.75">
      <c r="B79" s="26">
        <v>43344</v>
      </c>
      <c r="C79" s="11">
        <v>65</v>
      </c>
      <c r="D79" s="11" t="s">
        <v>29</v>
      </c>
      <c r="E79" s="11"/>
      <c r="F79" s="11">
        <v>1</v>
      </c>
      <c r="G79" s="27">
        <f>C79*F79</f>
        <v>65</v>
      </c>
      <c r="H79" s="28">
        <v>4</v>
      </c>
    </row>
    <row r="80" spans="2:8" ht="12.75">
      <c r="B80" s="20">
        <v>43351</v>
      </c>
      <c r="C80" s="7">
        <v>104.07</v>
      </c>
      <c r="D80" s="7" t="s">
        <v>28</v>
      </c>
      <c r="E80" s="7"/>
      <c r="F80" s="7">
        <v>4.1</v>
      </c>
      <c r="G80" s="21">
        <f>C80*F80</f>
        <v>426.68699999999995</v>
      </c>
      <c r="H80" s="22">
        <v>2</v>
      </c>
    </row>
    <row r="81" spans="2:8" ht="12.75">
      <c r="B81" s="26">
        <v>43351</v>
      </c>
      <c r="C81" s="11">
        <v>50</v>
      </c>
      <c r="D81" s="11" t="s">
        <v>29</v>
      </c>
      <c r="E81" s="11"/>
      <c r="F81" s="11">
        <v>1</v>
      </c>
      <c r="G81" s="27">
        <f>C81*F81</f>
        <v>50</v>
      </c>
      <c r="H81" s="28">
        <v>4</v>
      </c>
    </row>
    <row r="82" spans="2:8" ht="12.75">
      <c r="B82" s="26">
        <v>43356</v>
      </c>
      <c r="C82" s="11">
        <v>50</v>
      </c>
      <c r="D82" s="11" t="s">
        <v>29</v>
      </c>
      <c r="E82" s="11"/>
      <c r="F82" s="11">
        <v>1</v>
      </c>
      <c r="G82" s="27">
        <f>C82*F82</f>
        <v>50</v>
      </c>
      <c r="H82" s="28">
        <v>4</v>
      </c>
    </row>
    <row r="83" spans="2:8" ht="12.75">
      <c r="B83" s="2">
        <v>43356</v>
      </c>
      <c r="C83" s="1">
        <v>32.2</v>
      </c>
      <c r="D83" s="1" t="s">
        <v>45</v>
      </c>
      <c r="F83" s="1">
        <v>1</v>
      </c>
      <c r="G83" s="34">
        <f>C83*F83</f>
        <v>32.2</v>
      </c>
      <c r="H83" s="4">
        <v>1</v>
      </c>
    </row>
    <row r="84" spans="2:8" ht="12.75">
      <c r="B84" s="20">
        <v>43378</v>
      </c>
      <c r="C84" s="7">
        <v>66.27</v>
      </c>
      <c r="D84" s="7" t="s">
        <v>28</v>
      </c>
      <c r="E84" s="7"/>
      <c r="F84" s="7">
        <v>3.9</v>
      </c>
      <c r="G84" s="21">
        <f>C84*F84</f>
        <v>258.453</v>
      </c>
      <c r="H84" s="22">
        <v>2</v>
      </c>
    </row>
    <row r="85" spans="2:8" ht="12.75">
      <c r="B85" s="2">
        <v>43396</v>
      </c>
      <c r="C85" s="1">
        <v>30.81</v>
      </c>
      <c r="D85" s="1" t="s">
        <v>45</v>
      </c>
      <c r="F85" s="1">
        <v>1</v>
      </c>
      <c r="G85" s="33">
        <f>C85*F85</f>
        <v>30.81</v>
      </c>
      <c r="H85" s="4">
        <v>1</v>
      </c>
    </row>
    <row r="86" spans="2:8" ht="12.75">
      <c r="B86" s="23">
        <v>43398</v>
      </c>
      <c r="C86" s="9">
        <v>442.55</v>
      </c>
      <c r="D86" s="9" t="s">
        <v>42</v>
      </c>
      <c r="E86" s="9"/>
      <c r="F86" s="9">
        <v>1</v>
      </c>
      <c r="G86" s="24">
        <f>C86*F86</f>
        <v>442.55</v>
      </c>
      <c r="H86" s="25">
        <v>3</v>
      </c>
    </row>
    <row r="87" spans="2:8" ht="12.75">
      <c r="B87" s="2">
        <v>43407</v>
      </c>
      <c r="C87" s="1">
        <v>32.95</v>
      </c>
      <c r="D87" s="1" t="s">
        <v>45</v>
      </c>
      <c r="F87" s="1">
        <v>1</v>
      </c>
      <c r="G87" s="34">
        <f>C87*F87</f>
        <v>32.95</v>
      </c>
      <c r="H87" s="4">
        <v>1</v>
      </c>
    </row>
    <row r="88" spans="7:8" ht="12.75">
      <c r="G88" s="27">
        <f>C88*F88</f>
        <v>0</v>
      </c>
      <c r="H88" s="4"/>
    </row>
    <row r="89" spans="7:8" ht="12.75">
      <c r="G89" s="27">
        <f>C89*F89</f>
        <v>0</v>
      </c>
      <c r="H89" s="4"/>
    </row>
    <row r="90" spans="7:8" ht="12.75">
      <c r="G90" s="27">
        <f>C90*F90</f>
        <v>0</v>
      </c>
      <c r="H90" s="4"/>
    </row>
    <row r="91" spans="7:8" ht="12.75">
      <c r="G91" s="27">
        <f>C91*F91</f>
        <v>0</v>
      </c>
      <c r="H91" s="4"/>
    </row>
    <row r="92" spans="7:8" ht="12.75">
      <c r="G92" s="27">
        <f>C92*F92</f>
        <v>0</v>
      </c>
      <c r="H92" s="4"/>
    </row>
    <row r="93" spans="7:8" ht="12.75">
      <c r="G93" s="27">
        <f>C93*F93</f>
        <v>0</v>
      </c>
      <c r="H93" s="4"/>
    </row>
    <row r="94" spans="7:8" ht="12.75">
      <c r="G94" s="27">
        <f>C94*F94</f>
        <v>0</v>
      </c>
      <c r="H94" s="4"/>
    </row>
    <row r="95" spans="7:8" ht="12.75">
      <c r="G95" s="27">
        <f>C95*F95</f>
        <v>0</v>
      </c>
      <c r="H95" s="4"/>
    </row>
    <row r="96" spans="7:8" ht="12.75">
      <c r="G96" s="27">
        <f>C96*F96</f>
        <v>0</v>
      </c>
      <c r="H96" s="4"/>
    </row>
    <row r="97" spans="7:8" ht="12.75">
      <c r="G97" s="27">
        <f>C97*F97</f>
        <v>0</v>
      </c>
      <c r="H97" s="4"/>
    </row>
    <row r="98" spans="7:8" ht="12.75">
      <c r="G98" s="27">
        <f>C98*F98</f>
        <v>0</v>
      </c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J1">
      <selection activeCell="AP3" sqref="AP3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2.7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43313</v>
      </c>
      <c r="C2" s="32">
        <f>B2*AD2</f>
        <v>0</v>
      </c>
      <c r="D2" s="32">
        <f>152+97</f>
        <v>249</v>
      </c>
      <c r="E2" s="32">
        <f>D2*AD2</f>
        <v>31.12925427135678</v>
      </c>
      <c r="F2" s="32">
        <v>100</v>
      </c>
      <c r="G2" s="32">
        <f>F2*AD2</f>
        <v>12.501708542713565</v>
      </c>
      <c r="I2" s="32">
        <f>H2*AD2</f>
        <v>0</v>
      </c>
      <c r="J2" s="32">
        <v>10</v>
      </c>
      <c r="K2" s="32">
        <f>J2*AD2</f>
        <v>1.2501708542713565</v>
      </c>
      <c r="L2" s="32">
        <v>270</v>
      </c>
      <c r="M2" s="32">
        <f>L2*AD2</f>
        <v>33.75461306532663</v>
      </c>
      <c r="O2" s="32">
        <f>N2*AD2</f>
        <v>0</v>
      </c>
      <c r="Q2" s="32">
        <f>P2*AD2</f>
        <v>0</v>
      </c>
      <c r="T2" s="32" t="s">
        <v>137</v>
      </c>
      <c r="AB2" s="32" t="s">
        <v>235</v>
      </c>
      <c r="AC2" s="32">
        <f>B2+D2+F2+H2+J2+L2+N2+P2</f>
        <v>629</v>
      </c>
      <c r="AD2" s="53">
        <f>(1169.32+74.6)/9950</f>
        <v>0.12501708542713566</v>
      </c>
      <c r="AE2" s="53">
        <f>AC2*AD2</f>
        <v>78.63574673366833</v>
      </c>
      <c r="AG2" s="32">
        <v>23</v>
      </c>
      <c r="AI2" s="32" t="s">
        <v>139</v>
      </c>
      <c r="AJ2" s="55">
        <f>SUM($AE$2:$AE$995)</f>
        <v>3484.5387135678384</v>
      </c>
      <c r="AL2" s="32" t="s">
        <v>140</v>
      </c>
      <c r="AM2" s="57">
        <f>$AJ$2/$AJ$5</f>
        <v>112.4044746312206</v>
      </c>
      <c r="AO2" s="32" t="s">
        <v>141</v>
      </c>
      <c r="AP2" s="32">
        <f>COUNTBLANK(L2:L41)-COUNTBLANK(A2:A41)</f>
        <v>0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43314</v>
      </c>
      <c r="C3" s="32">
        <f>B3*AD3</f>
        <v>0</v>
      </c>
      <c r="D3" s="32">
        <f>33+60</f>
        <v>93</v>
      </c>
      <c r="E3" s="32">
        <f>D3*AD3</f>
        <v>11.626588944723617</v>
      </c>
      <c r="F3" s="32">
        <v>100</v>
      </c>
      <c r="G3" s="32">
        <f>F3*AD3</f>
        <v>12.501708542713565</v>
      </c>
      <c r="I3" s="32">
        <f>H3*AD3</f>
        <v>0</v>
      </c>
      <c r="J3" s="32">
        <v>10</v>
      </c>
      <c r="K3" s="32">
        <f>J3*AD3</f>
        <v>1.2501708542713565</v>
      </c>
      <c r="L3" s="32">
        <v>270</v>
      </c>
      <c r="M3" s="32">
        <f>L3*AD3</f>
        <v>33.75461306532663</v>
      </c>
      <c r="O3" s="32">
        <f>N3*AD3</f>
        <v>0</v>
      </c>
      <c r="Q3" s="32">
        <f>P3*AD3</f>
        <v>0</v>
      </c>
      <c r="T3" s="32" t="s">
        <v>137</v>
      </c>
      <c r="AB3" s="32" t="s">
        <v>235</v>
      </c>
      <c r="AC3" s="32">
        <f>B3+D3+F3+H3+J3+L3+N3+P3</f>
        <v>473</v>
      </c>
      <c r="AD3" s="53">
        <f>(1169.32+74.6)/9950</f>
        <v>0.12501708542713566</v>
      </c>
      <c r="AE3" s="53">
        <f>AC3*AD3</f>
        <v>59.13308140703517</v>
      </c>
      <c r="AG3" s="32">
        <v>23</v>
      </c>
      <c r="AI3" s="59"/>
      <c r="AL3" s="59"/>
      <c r="AM3" s="57"/>
      <c r="AO3" s="32" t="s">
        <v>145</v>
      </c>
      <c r="AP3" s="32">
        <f>COUNT(L2:L37)</f>
        <v>31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43315</v>
      </c>
      <c r="B4" s="32">
        <f>6.5*2+13*2</f>
        <v>39</v>
      </c>
      <c r="C4" s="32">
        <f>B4*AD4</f>
        <v>4.875666331658291</v>
      </c>
      <c r="D4" s="32">
        <f>20+144.5</f>
        <v>164.5</v>
      </c>
      <c r="E4" s="32">
        <f>D4*AD4</f>
        <v>20.565310552763815</v>
      </c>
      <c r="F4" s="32">
        <v>100</v>
      </c>
      <c r="G4" s="32">
        <f>F4*AD4</f>
        <v>12.501708542713565</v>
      </c>
      <c r="I4" s="32">
        <f>H4*AD4</f>
        <v>0</v>
      </c>
      <c r="J4" s="32">
        <v>10</v>
      </c>
      <c r="K4" s="32">
        <f>J4*AD4</f>
        <v>1.2501708542713565</v>
      </c>
      <c r="L4" s="32">
        <v>270</v>
      </c>
      <c r="M4" s="32">
        <f>L4*AD4</f>
        <v>33.75461306532663</v>
      </c>
      <c r="O4" s="32">
        <f>N4*AD4</f>
        <v>0</v>
      </c>
      <c r="Q4" s="32">
        <f>P4*AD4</f>
        <v>0</v>
      </c>
      <c r="T4" s="32" t="s">
        <v>137</v>
      </c>
      <c r="AB4" s="32" t="s">
        <v>235</v>
      </c>
      <c r="AC4" s="32">
        <f>B4+D4+F4+H4+J4+L4+N4+P4</f>
        <v>583.5</v>
      </c>
      <c r="AD4" s="53">
        <f>(1169.32+74.6)/9950</f>
        <v>0.12501708542713566</v>
      </c>
      <c r="AE4" s="53">
        <f>AC4*AD4</f>
        <v>72.94746934673366</v>
      </c>
      <c r="AG4" s="32">
        <v>23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43316</v>
      </c>
      <c r="C5" s="32">
        <f>B5*AD5</f>
        <v>0</v>
      </c>
      <c r="D5" s="4">
        <f>156</f>
        <v>156</v>
      </c>
      <c r="E5" s="32">
        <f>D5*AD5</f>
        <v>19.502665326633164</v>
      </c>
      <c r="F5" s="32">
        <v>100</v>
      </c>
      <c r="G5" s="32">
        <f>F5*AD5</f>
        <v>12.501708542713565</v>
      </c>
      <c r="I5" s="32">
        <f>H5*AD5</f>
        <v>0</v>
      </c>
      <c r="J5" s="32">
        <v>10</v>
      </c>
      <c r="K5" s="32">
        <f>J5*AD5</f>
        <v>1.2501708542713565</v>
      </c>
      <c r="L5" s="32">
        <v>270</v>
      </c>
      <c r="M5" s="32">
        <f>L5*AD5</f>
        <v>33.75461306532663</v>
      </c>
      <c r="O5" s="32">
        <f>N5*AD5</f>
        <v>0</v>
      </c>
      <c r="Q5" s="32">
        <f>P5*AD5</f>
        <v>0</v>
      </c>
      <c r="T5" s="32" t="s">
        <v>137</v>
      </c>
      <c r="AB5" s="32" t="s">
        <v>235</v>
      </c>
      <c r="AC5" s="32">
        <f>B5+D5+F5+H5+J5+L5+N5+P5</f>
        <v>536</v>
      </c>
      <c r="AD5" s="53">
        <f>(1169.32+74.6)/9950</f>
        <v>0.12501708542713566</v>
      </c>
      <c r="AE5" s="53">
        <f>AC5*AD5</f>
        <v>67.00915778894472</v>
      </c>
      <c r="AG5" s="32">
        <v>23</v>
      </c>
      <c r="AI5" s="32" t="s">
        <v>153</v>
      </c>
      <c r="AJ5" s="32">
        <f>COUNTA(A2:A350)</f>
        <v>31</v>
      </c>
      <c r="AO5" s="32" t="s">
        <v>154</v>
      </c>
      <c r="AP5" s="32">
        <f>COUNTA(R2:R50)</f>
        <v>0</v>
      </c>
    </row>
    <row r="6" spans="1:42" ht="14.25">
      <c r="A6" s="56">
        <v>43317</v>
      </c>
      <c r="B6" s="32">
        <f>6.5*2+15*2+5*2</f>
        <v>53</v>
      </c>
      <c r="C6" s="32">
        <f>B6*AD6</f>
        <v>6.62590552763819</v>
      </c>
      <c r="D6" s="4">
        <f>101+35</f>
        <v>136</v>
      </c>
      <c r="E6" s="32">
        <f>D6*AD6</f>
        <v>17.00232361809045</v>
      </c>
      <c r="F6" s="32">
        <v>115</v>
      </c>
      <c r="G6" s="32">
        <f>F6*AD6</f>
        <v>14.3769648241206</v>
      </c>
      <c r="I6" s="32">
        <f>H6*AD6</f>
        <v>0</v>
      </c>
      <c r="J6" s="32">
        <v>5</v>
      </c>
      <c r="K6" s="32">
        <f>J6*AD6</f>
        <v>0.6250854271356783</v>
      </c>
      <c r="L6" s="32">
        <v>320</v>
      </c>
      <c r="M6" s="32">
        <f>L6*AD6</f>
        <v>40.00546733668341</v>
      </c>
      <c r="O6" s="32">
        <f>N6*AD6</f>
        <v>0</v>
      </c>
      <c r="Q6" s="32">
        <f>P6*AD6</f>
        <v>0</v>
      </c>
      <c r="T6" s="32" t="s">
        <v>137</v>
      </c>
      <c r="AB6" s="32" t="s">
        <v>236</v>
      </c>
      <c r="AC6" s="32">
        <f>B6+D6+F6+H6+J6+L6+N6+P6</f>
        <v>629</v>
      </c>
      <c r="AD6" s="53">
        <f>(1169.32+74.6)/9950</f>
        <v>0.12501708542713566</v>
      </c>
      <c r="AE6" s="53">
        <f>AC6*AD6</f>
        <v>78.63574673366833</v>
      </c>
      <c r="AG6" s="32">
        <v>23</v>
      </c>
      <c r="AI6" s="59"/>
      <c r="AO6" s="32" t="s">
        <v>156</v>
      </c>
      <c r="AP6" s="32">
        <f>COUNTA(T2:T50)</f>
        <v>28</v>
      </c>
    </row>
    <row r="7" spans="1:42" ht="14.25">
      <c r="A7" s="56">
        <v>43318</v>
      </c>
      <c r="C7" s="32">
        <f>B7*AD7</f>
        <v>0</v>
      </c>
      <c r="D7" s="32">
        <f>39+126</f>
        <v>165</v>
      </c>
      <c r="E7" s="32">
        <f>D7*AD7</f>
        <v>20.627819095477385</v>
      </c>
      <c r="F7" s="32">
        <v>115</v>
      </c>
      <c r="G7" s="32">
        <f>F7*AD7</f>
        <v>14.3769648241206</v>
      </c>
      <c r="I7" s="32">
        <f>H7*AD7</f>
        <v>0</v>
      </c>
      <c r="J7" s="32">
        <v>4</v>
      </c>
      <c r="K7" s="32">
        <f>J7*AD7</f>
        <v>0.5000683417085426</v>
      </c>
      <c r="L7" s="32">
        <v>320</v>
      </c>
      <c r="M7" s="32">
        <f>L7*AD7</f>
        <v>40.00546733668341</v>
      </c>
      <c r="O7" s="32">
        <f>N7*AD7</f>
        <v>0</v>
      </c>
      <c r="Q7" s="32">
        <f>P7*AD7</f>
        <v>0</v>
      </c>
      <c r="T7" s="32" t="s">
        <v>137</v>
      </c>
      <c r="AB7" s="32" t="s">
        <v>237</v>
      </c>
      <c r="AC7" s="32">
        <f>B7+D7+F7+H7+J7+L7+N7+P7</f>
        <v>604</v>
      </c>
      <c r="AD7" s="53">
        <f>(1169.32+74.6)/9950</f>
        <v>0.12501708542713566</v>
      </c>
      <c r="AE7" s="53">
        <f>AC7*AD7</f>
        <v>75.51031959798993</v>
      </c>
      <c r="AG7" s="32">
        <v>23</v>
      </c>
      <c r="AL7" s="32" t="s">
        <v>158</v>
      </c>
      <c r="AO7" s="32" t="s">
        <v>126</v>
      </c>
      <c r="AP7" s="32">
        <f>COUNTA(U2:U50)</f>
        <v>0</v>
      </c>
    </row>
    <row r="8" spans="1:42" ht="14.25">
      <c r="A8" s="56">
        <v>43319</v>
      </c>
      <c r="C8" s="32">
        <f>B8*AD8</f>
        <v>0</v>
      </c>
      <c r="D8" s="32">
        <f>219</f>
        <v>219</v>
      </c>
      <c r="E8" s="32">
        <f>D8*AD8</f>
        <v>27.37874170854271</v>
      </c>
      <c r="F8" s="32">
        <v>125</v>
      </c>
      <c r="G8" s="32">
        <f>F8*AD8</f>
        <v>15.627135678391957</v>
      </c>
      <c r="I8" s="32">
        <f>H8*AD8</f>
        <v>0</v>
      </c>
      <c r="K8" s="32">
        <f>J8*AD8</f>
        <v>0</v>
      </c>
      <c r="L8" s="32">
        <v>320</v>
      </c>
      <c r="M8" s="32">
        <f>L8*AD8</f>
        <v>40.00546733668341</v>
      </c>
      <c r="O8" s="32">
        <f>N8*AD8</f>
        <v>0</v>
      </c>
      <c r="Q8" s="32">
        <f>P8*AD8</f>
        <v>0</v>
      </c>
      <c r="T8" s="32" t="s">
        <v>137</v>
      </c>
      <c r="AB8" s="32" t="s">
        <v>237</v>
      </c>
      <c r="AC8" s="32">
        <f>B8+D8+F8+H8+J8+L8+N8+P8</f>
        <v>664</v>
      </c>
      <c r="AD8" s="53">
        <f>(1169.32+74.6)/9950</f>
        <v>0.12501708542713566</v>
      </c>
      <c r="AE8" s="53">
        <f>AC8*AD8</f>
        <v>83.01134472361808</v>
      </c>
      <c r="AG8" s="32">
        <v>23</v>
      </c>
      <c r="AI8" s="32" t="s">
        <v>160</v>
      </c>
      <c r="AJ8" s="55">
        <f>SUM(M2:M995)</f>
        <v>1164.534150753769</v>
      </c>
      <c r="AL8" s="32" t="s">
        <v>119</v>
      </c>
      <c r="AM8" s="55">
        <f>AJ8/$AJ$5</f>
        <v>37.56561776625061</v>
      </c>
      <c r="AO8" s="32" t="s">
        <v>161</v>
      </c>
      <c r="AP8" s="32">
        <f>COUNTA(S2:S50)</f>
        <v>0</v>
      </c>
    </row>
    <row r="9" spans="1:42" ht="14.25">
      <c r="A9" s="56">
        <v>43320</v>
      </c>
      <c r="B9" s="1"/>
      <c r="C9" s="32">
        <f>B9*AD9</f>
        <v>0</v>
      </c>
      <c r="D9" s="32">
        <v>215</v>
      </c>
      <c r="E9" s="32">
        <f>D9*AD9</f>
        <v>26.878673366834168</v>
      </c>
      <c r="F9" s="32">
        <v>115</v>
      </c>
      <c r="G9" s="32">
        <f>F9*AD9</f>
        <v>14.3769648241206</v>
      </c>
      <c r="H9" s="32">
        <f>50*2</f>
        <v>100</v>
      </c>
      <c r="I9" s="32">
        <f>H9*AD9</f>
        <v>12.501708542713565</v>
      </c>
      <c r="J9" s="32">
        <v>4</v>
      </c>
      <c r="K9" s="32">
        <f>J9*AD9</f>
        <v>0.5000683417085426</v>
      </c>
      <c r="L9" s="32">
        <v>320</v>
      </c>
      <c r="M9" s="32">
        <f>L9*AD9</f>
        <v>40.00546733668341</v>
      </c>
      <c r="O9" s="32">
        <f>N9*AD9</f>
        <v>0</v>
      </c>
      <c r="Q9" s="32">
        <f>P9*AD9</f>
        <v>0</v>
      </c>
      <c r="T9" s="32" t="s">
        <v>137</v>
      </c>
      <c r="AB9" s="32" t="s">
        <v>237</v>
      </c>
      <c r="AC9" s="32">
        <f>B9+D9+F9+H9+J9+L9+N9+P9</f>
        <v>754</v>
      </c>
      <c r="AD9" s="53">
        <f>(1169.32+74.6)/9950</f>
        <v>0.12501708542713566</v>
      </c>
      <c r="AE9" s="53">
        <f>AC9*AD9</f>
        <v>94.26288241206029</v>
      </c>
      <c r="AG9" s="32">
        <v>23</v>
      </c>
      <c r="AI9" s="32" t="s">
        <v>163</v>
      </c>
      <c r="AJ9" s="55">
        <f>SUM(C2:C995)</f>
        <v>458.81270351758786</v>
      </c>
      <c r="AL9" s="32" t="s">
        <v>109</v>
      </c>
      <c r="AM9" s="55">
        <f>AJ9/$AJ$5</f>
        <v>14.800409790889931</v>
      </c>
      <c r="AO9" s="32" t="s">
        <v>127</v>
      </c>
      <c r="AP9" s="32">
        <f>COUNTA(V2:V51)</f>
        <v>0</v>
      </c>
    </row>
    <row r="10" spans="1:42" ht="14.25">
      <c r="A10" s="56">
        <v>43321</v>
      </c>
      <c r="C10" s="32">
        <f>B10*AD10</f>
        <v>0</v>
      </c>
      <c r="D10" s="32">
        <v>239</v>
      </c>
      <c r="E10" s="32">
        <f>D10*AD10</f>
        <v>29.879083417085422</v>
      </c>
      <c r="F10" s="32">
        <v>115</v>
      </c>
      <c r="G10" s="32">
        <f>F10*AD10</f>
        <v>14.3769648241206</v>
      </c>
      <c r="I10" s="32">
        <f>H10*AD10</f>
        <v>0</v>
      </c>
      <c r="J10" s="32">
        <v>4</v>
      </c>
      <c r="K10" s="32">
        <f>J10*AD10</f>
        <v>0.5000683417085426</v>
      </c>
      <c r="L10" s="32">
        <v>320</v>
      </c>
      <c r="M10" s="32">
        <f>L10*AD10</f>
        <v>40.00546733668341</v>
      </c>
      <c r="O10" s="32">
        <f>N10*AD10</f>
        <v>0</v>
      </c>
      <c r="Q10" s="32">
        <f>P10*AD10</f>
        <v>0</v>
      </c>
      <c r="T10" s="32" t="s">
        <v>137</v>
      </c>
      <c r="AB10" s="32" t="s">
        <v>237</v>
      </c>
      <c r="AC10" s="32">
        <f>B10+D10+F10+H10+J10+L10+N10+P10</f>
        <v>678</v>
      </c>
      <c r="AD10" s="53">
        <f>(1169.32+74.6)/9950</f>
        <v>0.12501708542713566</v>
      </c>
      <c r="AE10" s="53">
        <f>AC10*AD10</f>
        <v>84.76158391959798</v>
      </c>
      <c r="AG10" s="32">
        <v>23</v>
      </c>
      <c r="AI10" s="32" t="s">
        <v>164</v>
      </c>
      <c r="AJ10" s="55">
        <f>SUM(E2:E995)</f>
        <v>672.7794452261306</v>
      </c>
      <c r="AL10" s="32" t="s">
        <v>51</v>
      </c>
      <c r="AM10" s="55">
        <f>AJ10/$AJ$5</f>
        <v>21.70256274923002</v>
      </c>
      <c r="AO10" s="32" t="s">
        <v>130</v>
      </c>
      <c r="AP10" s="32">
        <f>COUNTA(Y2:Y52)</f>
        <v>3</v>
      </c>
    </row>
    <row r="11" spans="1:42" ht="14.25">
      <c r="A11" s="56">
        <v>43322</v>
      </c>
      <c r="C11" s="32">
        <f>B11*AD11</f>
        <v>0</v>
      </c>
      <c r="D11" s="32">
        <f>108+30</f>
        <v>138</v>
      </c>
      <c r="E11" s="32">
        <f>D11*AD11</f>
        <v>17.25235778894472</v>
      </c>
      <c r="F11" s="32">
        <v>115</v>
      </c>
      <c r="G11" s="32">
        <f>F11*AD11</f>
        <v>14.3769648241206</v>
      </c>
      <c r="I11" s="32">
        <f>H11*AD11</f>
        <v>0</v>
      </c>
      <c r="J11" s="32">
        <v>3</v>
      </c>
      <c r="K11" s="32">
        <f>J11*AD11</f>
        <v>0.375051256281407</v>
      </c>
      <c r="L11" s="32">
        <v>320</v>
      </c>
      <c r="M11" s="32">
        <f>L11*AD11</f>
        <v>40.00546733668341</v>
      </c>
      <c r="O11" s="32">
        <f>N11*AD11</f>
        <v>0</v>
      </c>
      <c r="Q11" s="32">
        <f>P11*AD11</f>
        <v>0</v>
      </c>
      <c r="T11" s="32" t="s">
        <v>137</v>
      </c>
      <c r="AB11" s="60" t="s">
        <v>237</v>
      </c>
      <c r="AC11" s="32">
        <f>B11+D11+F11+H11+J11+L11+N11+P11</f>
        <v>576</v>
      </c>
      <c r="AD11" s="53">
        <f>(1169.32+74.6)/9950</f>
        <v>0.12501708542713566</v>
      </c>
      <c r="AE11" s="53">
        <f>AC11*AD11</f>
        <v>72.00984120603015</v>
      </c>
      <c r="AG11" s="32">
        <v>23</v>
      </c>
      <c r="AI11" s="32" t="s">
        <v>165</v>
      </c>
      <c r="AJ11" s="55">
        <f>SUM(G2:G995)</f>
        <v>555.4509105527637</v>
      </c>
      <c r="AL11" s="32" t="s">
        <v>166</v>
      </c>
      <c r="AM11" s="55">
        <f>AJ11/$AJ$5</f>
        <v>17.917771308153668</v>
      </c>
      <c r="AO11" s="32" t="s">
        <v>167</v>
      </c>
      <c r="AP11" s="32">
        <f>COUNTA(Z2:Z53)</f>
        <v>0</v>
      </c>
    </row>
    <row r="12" spans="1:39" ht="14.25">
      <c r="A12" s="56">
        <v>43323</v>
      </c>
      <c r="B12" s="32">
        <f>15*2+5*2</f>
        <v>40</v>
      </c>
      <c r="C12" s="32">
        <f>B12*AD12</f>
        <v>5.000683417085426</v>
      </c>
      <c r="D12" s="32">
        <f>40</f>
        <v>40</v>
      </c>
      <c r="E12" s="32">
        <f>D12*AD12</f>
        <v>5.000683417085426</v>
      </c>
      <c r="F12" s="32">
        <f>120+100</f>
        <v>220</v>
      </c>
      <c r="G12" s="32">
        <f>F12*AD12</f>
        <v>27.503758793969844</v>
      </c>
      <c r="I12" s="32">
        <f>H12*AD12</f>
        <v>0</v>
      </c>
      <c r="K12" s="32">
        <f>J12*AD12</f>
        <v>0</v>
      </c>
      <c r="L12" s="32">
        <v>395</v>
      </c>
      <c r="M12" s="32">
        <f>L12*AD12</f>
        <v>49.38174874371859</v>
      </c>
      <c r="O12" s="32">
        <f>N12*AD12</f>
        <v>0</v>
      </c>
      <c r="Q12" s="32">
        <f>P12*AD12</f>
        <v>0</v>
      </c>
      <c r="T12" s="32" t="s">
        <v>137</v>
      </c>
      <c r="AB12" s="60" t="s">
        <v>238</v>
      </c>
      <c r="AC12" s="32">
        <f>B12+D12+F12+H12+J12+L12+N12+P12</f>
        <v>695</v>
      </c>
      <c r="AD12" s="53">
        <f>(1169.32+74.6)/9950</f>
        <v>0.12501708542713566</v>
      </c>
      <c r="AE12" s="53">
        <f>AC12*AD12</f>
        <v>86.88687437185928</v>
      </c>
      <c r="AG12" s="32">
        <v>23</v>
      </c>
      <c r="AI12" s="32" t="s">
        <v>168</v>
      </c>
      <c r="AJ12" s="55">
        <f>SUM(K2:K995)</f>
        <v>620.4597949748742</v>
      </c>
      <c r="AL12" s="32" t="s">
        <v>117</v>
      </c>
      <c r="AM12" s="55">
        <f>AJ12/$AJ$5</f>
        <v>20.014832095963683</v>
      </c>
    </row>
    <row r="13" spans="1:39" ht="14.25">
      <c r="A13" s="56">
        <v>43324</v>
      </c>
      <c r="B13" s="1">
        <f>192*2</f>
        <v>384</v>
      </c>
      <c r="C13" s="32">
        <f>B13*AD13</f>
        <v>48.0065608040201</v>
      </c>
      <c r="D13" s="32">
        <f>32+68</f>
        <v>100</v>
      </c>
      <c r="E13" s="32">
        <f>D13*AD13</f>
        <v>12.501708542713565</v>
      </c>
      <c r="F13" s="32">
        <f>120+90</f>
        <v>210</v>
      </c>
      <c r="G13" s="32">
        <f>F13*AD13</f>
        <v>26.253587939698487</v>
      </c>
      <c r="I13" s="32">
        <f>H13*AD13</f>
        <v>0</v>
      </c>
      <c r="J13" s="32">
        <v>3</v>
      </c>
      <c r="K13" s="32">
        <f>J13*AD13</f>
        <v>0.375051256281407</v>
      </c>
      <c r="L13" s="32">
        <v>200</v>
      </c>
      <c r="M13" s="32">
        <f>L13*AD13</f>
        <v>25.00341708542713</v>
      </c>
      <c r="O13" s="32">
        <f>N13*AD13</f>
        <v>0</v>
      </c>
      <c r="Q13" s="32">
        <f>P13*AD13</f>
        <v>0</v>
      </c>
      <c r="T13" s="32" t="s">
        <v>137</v>
      </c>
      <c r="AB13" s="60" t="s">
        <v>239</v>
      </c>
      <c r="AC13" s="32">
        <f>B13+D13+F13+H13+J13+L13+N13+P13</f>
        <v>897</v>
      </c>
      <c r="AD13" s="53">
        <f>(1169.32+74.6)/9950</f>
        <v>0.12501708542713566</v>
      </c>
      <c r="AE13" s="53">
        <f>AC13*AD13</f>
        <v>112.14032562814069</v>
      </c>
      <c r="AG13" s="32">
        <v>23</v>
      </c>
      <c r="AI13" s="32" t="s">
        <v>169</v>
      </c>
      <c r="AJ13" s="55">
        <f>SUM(I2:I995)</f>
        <v>12.501708542713565</v>
      </c>
      <c r="AL13" s="32" t="s">
        <v>115</v>
      </c>
      <c r="AM13" s="55">
        <f>AJ13/$AJ$5</f>
        <v>0.40328092073269567</v>
      </c>
    </row>
    <row r="14" spans="1:36" ht="14.25">
      <c r="A14" s="56">
        <v>43325</v>
      </c>
      <c r="B14" s="32">
        <v>1400</v>
      </c>
      <c r="C14" s="32">
        <f>B14*AD14</f>
        <v>175.02391959798993</v>
      </c>
      <c r="D14" s="32">
        <f>113</f>
        <v>113</v>
      </c>
      <c r="E14" s="32">
        <f>D14*AD14</f>
        <v>14.12693065326633</v>
      </c>
      <c r="F14" s="32">
        <v>200</v>
      </c>
      <c r="G14" s="32">
        <f>F14*AD14</f>
        <v>25.00341708542713</v>
      </c>
      <c r="I14" s="32">
        <f>H14*AD14</f>
        <v>0</v>
      </c>
      <c r="J14" s="32">
        <v>400</v>
      </c>
      <c r="K14" s="32">
        <f>J14*AD14</f>
        <v>50.00683417085426</v>
      </c>
      <c r="L14" s="32">
        <v>200</v>
      </c>
      <c r="M14" s="32">
        <f>L14*AD14</f>
        <v>25.00341708542713</v>
      </c>
      <c r="O14" s="32">
        <f>N14*AD14</f>
        <v>0</v>
      </c>
      <c r="Q14" s="32">
        <f>P14*AD14</f>
        <v>0</v>
      </c>
      <c r="T14" s="32" t="s">
        <v>137</v>
      </c>
      <c r="AB14" s="60" t="s">
        <v>240</v>
      </c>
      <c r="AC14" s="32">
        <f>B14+D14+F14+H14+J14+L14+N14+P14</f>
        <v>2313</v>
      </c>
      <c r="AD14" s="53">
        <f>(1169.32+74.6)/9950</f>
        <v>0.12501708542713566</v>
      </c>
      <c r="AE14" s="53">
        <f>AC14*AD14</f>
        <v>289.1645185929648</v>
      </c>
      <c r="AG14" s="32">
        <v>23</v>
      </c>
      <c r="AI14" s="32" t="s">
        <v>171</v>
      </c>
      <c r="AJ14" s="55">
        <f>SUM(O2:O995)</f>
        <v>0</v>
      </c>
    </row>
    <row r="15" spans="1:36" ht="14.25">
      <c r="A15" s="56">
        <v>43326</v>
      </c>
      <c r="C15" s="32">
        <f>B15*AD15</f>
        <v>0</v>
      </c>
      <c r="D15" s="32">
        <f>38+113</f>
        <v>151</v>
      </c>
      <c r="E15" s="32">
        <f>D15*AD15</f>
        <v>18.877579899497483</v>
      </c>
      <c r="F15" s="32">
        <v>120</v>
      </c>
      <c r="G15" s="32">
        <f>F15*AD15</f>
        <v>15.002050251256279</v>
      </c>
      <c r="I15" s="32">
        <f>H15*AD15</f>
        <v>0</v>
      </c>
      <c r="K15" s="32">
        <f>J15*AD15</f>
        <v>0</v>
      </c>
      <c r="L15" s="32">
        <v>360</v>
      </c>
      <c r="M15" s="32">
        <f>L15*AD15</f>
        <v>45.006150753768836</v>
      </c>
      <c r="O15" s="32">
        <f>N15*AD15</f>
        <v>0</v>
      </c>
      <c r="Q15" s="32">
        <f>P15*AD15</f>
        <v>0</v>
      </c>
      <c r="T15" s="32" t="s">
        <v>137</v>
      </c>
      <c r="AB15" s="60" t="s">
        <v>241</v>
      </c>
      <c r="AC15" s="32">
        <f>B15+D15+F15+H15+J15+L15+N15+P15</f>
        <v>631</v>
      </c>
      <c r="AD15" s="53">
        <f>(1169.32+74.6)/9950</f>
        <v>0.12501708542713566</v>
      </c>
      <c r="AE15" s="53">
        <f>AC15*AD15</f>
        <v>78.8857809045226</v>
      </c>
      <c r="AG15" s="32">
        <v>23</v>
      </c>
      <c r="AI15" s="32" t="s">
        <v>173</v>
      </c>
      <c r="AJ15" s="32">
        <f>SUM(Q2:Q61)</f>
        <v>0</v>
      </c>
    </row>
    <row r="16" spans="1:35" ht="14.25">
      <c r="A16" s="56">
        <v>43327</v>
      </c>
      <c r="B16" s="32">
        <f>350*2</f>
        <v>700</v>
      </c>
      <c r="C16" s="32">
        <f>B16*AD16</f>
        <v>87.51195979899497</v>
      </c>
      <c r="D16" s="32">
        <f>56+117</f>
        <v>173</v>
      </c>
      <c r="E16" s="32">
        <f>D16*AD16</f>
        <v>21.62795577889447</v>
      </c>
      <c r="F16" s="32">
        <v>120</v>
      </c>
      <c r="G16" s="32">
        <f>F16*AD16</f>
        <v>15.002050251256279</v>
      </c>
      <c r="I16" s="32">
        <f>H16*AD16</f>
        <v>0</v>
      </c>
      <c r="K16" s="32">
        <f>J16*AD16</f>
        <v>0</v>
      </c>
      <c r="L16" s="32">
        <v>360</v>
      </c>
      <c r="M16" s="32">
        <f>L16*AD16</f>
        <v>45.006150753768836</v>
      </c>
      <c r="O16" s="32">
        <f>N16*AD16</f>
        <v>0</v>
      </c>
      <c r="Q16" s="32">
        <f>P16*AD16</f>
        <v>0</v>
      </c>
      <c r="T16" s="32" t="s">
        <v>137</v>
      </c>
      <c r="AB16" s="60" t="s">
        <v>242</v>
      </c>
      <c r="AC16" s="32">
        <f>B16+D16+F16+H16+J16+L16+N16+P16</f>
        <v>1353</v>
      </c>
      <c r="AD16" s="53">
        <f>(1169.32+74.6)/9950</f>
        <v>0.12501708542713566</v>
      </c>
      <c r="AE16" s="53">
        <f>AC16*AD16</f>
        <v>169.14811658291455</v>
      </c>
      <c r="AG16" s="32">
        <v>23</v>
      </c>
      <c r="AI16" s="59"/>
    </row>
    <row r="17" spans="1:44" ht="14.25">
      <c r="A17" s="56">
        <v>43328</v>
      </c>
      <c r="C17" s="32">
        <f>B17*AD17</f>
        <v>0</v>
      </c>
      <c r="D17" s="32">
        <f>74+92</f>
        <v>166</v>
      </c>
      <c r="E17" s="32">
        <f>D17*AD17</f>
        <v>20.75283618090452</v>
      </c>
      <c r="F17" s="32">
        <v>120</v>
      </c>
      <c r="G17" s="32">
        <f>F17*AD17</f>
        <v>15.002050251256279</v>
      </c>
      <c r="I17" s="32">
        <f>H17*AD17</f>
        <v>0</v>
      </c>
      <c r="K17" s="32">
        <f>J17*AD17</f>
        <v>0</v>
      </c>
      <c r="L17" s="32">
        <v>360</v>
      </c>
      <c r="M17" s="32">
        <f>L17*AD17</f>
        <v>45.006150753768836</v>
      </c>
      <c r="O17" s="32">
        <f>N17*AD17</f>
        <v>0</v>
      </c>
      <c r="Q17" s="32">
        <f>P17*AD17</f>
        <v>0</v>
      </c>
      <c r="T17" s="32" t="s">
        <v>137</v>
      </c>
      <c r="AB17" s="60" t="s">
        <v>242</v>
      </c>
      <c r="AC17" s="32">
        <f>B17+D17+F17+H17+J17+L17+N17+P17</f>
        <v>646</v>
      </c>
      <c r="AD17" s="53">
        <f>(1169.32+74.6)/9950</f>
        <v>0.12501708542713566</v>
      </c>
      <c r="AE17" s="53">
        <f>AC17*AD17</f>
        <v>80.76103718592964</v>
      </c>
      <c r="AG17" s="32">
        <v>23</v>
      </c>
      <c r="AR17" s="54"/>
    </row>
    <row r="18" spans="1:44" ht="14.25">
      <c r="A18" s="56">
        <v>43329</v>
      </c>
      <c r="C18" s="32">
        <f>B18*AD18</f>
        <v>0</v>
      </c>
      <c r="D18" s="32">
        <f>612+52+98</f>
        <v>762</v>
      </c>
      <c r="E18" s="32">
        <f>D18*AD18</f>
        <v>95.26301909547738</v>
      </c>
      <c r="F18" s="32">
        <v>120</v>
      </c>
      <c r="G18" s="32">
        <f>F18*AD18</f>
        <v>15.002050251256279</v>
      </c>
      <c r="I18" s="32">
        <f>H18*AD18</f>
        <v>0</v>
      </c>
      <c r="K18" s="32">
        <f>J18*AD18</f>
        <v>0</v>
      </c>
      <c r="L18" s="32">
        <v>310</v>
      </c>
      <c r="M18" s="32">
        <f>L18*AD18</f>
        <v>38.75529648241206</v>
      </c>
      <c r="O18" s="32">
        <f>N18*AD18</f>
        <v>0</v>
      </c>
      <c r="Q18" s="32">
        <f>P18*AD18</f>
        <v>0</v>
      </c>
      <c r="T18" s="32" t="s">
        <v>137</v>
      </c>
      <c r="AB18" s="60" t="s">
        <v>243</v>
      </c>
      <c r="AC18" s="32">
        <f>B18+D18+F18+H18+J18+L18+N18+P18</f>
        <v>1192</v>
      </c>
      <c r="AD18" s="53">
        <f>(1169.32+74.6)/9950</f>
        <v>0.12501708542713566</v>
      </c>
      <c r="AE18" s="53">
        <f>AC18*AD18</f>
        <v>149.0203658291457</v>
      </c>
      <c r="AG18" s="32">
        <v>23</v>
      </c>
      <c r="AI18" s="32" t="s">
        <v>177</v>
      </c>
      <c r="AJ18" s="32">
        <f>SUM(AA2:AA51)</f>
        <v>0</v>
      </c>
      <c r="AR18" s="54"/>
    </row>
    <row r="19" spans="1:33" ht="14.25">
      <c r="A19" s="56">
        <v>43330</v>
      </c>
      <c r="C19" s="32">
        <f>B19*AD19</f>
        <v>0</v>
      </c>
      <c r="D19" s="32">
        <f>24+128+60+20</f>
        <v>232</v>
      </c>
      <c r="E19" s="32">
        <f>D19*AD19</f>
        <v>29.003963819095475</v>
      </c>
      <c r="F19" s="32">
        <v>120</v>
      </c>
      <c r="G19" s="32">
        <f>F19*AD19</f>
        <v>15.002050251256279</v>
      </c>
      <c r="I19" s="32">
        <f>H19*AD19</f>
        <v>0</v>
      </c>
      <c r="K19" s="32">
        <f>J19*AD19</f>
        <v>0</v>
      </c>
      <c r="L19" s="32">
        <v>310</v>
      </c>
      <c r="M19" s="32">
        <f>L19*AD19</f>
        <v>38.75529648241206</v>
      </c>
      <c r="O19" s="32">
        <f>N19*AD19</f>
        <v>0</v>
      </c>
      <c r="Q19" s="32">
        <f>P19*AD19</f>
        <v>0</v>
      </c>
      <c r="T19" s="32" t="s">
        <v>137</v>
      </c>
      <c r="AB19" s="60" t="s">
        <v>244</v>
      </c>
      <c r="AC19" s="32">
        <f>B19+D19+F19+H19+J19+L19+N19+P19</f>
        <v>662</v>
      </c>
      <c r="AD19" s="53">
        <f>(1169.32+74.6)/9950</f>
        <v>0.12501708542713566</v>
      </c>
      <c r="AE19" s="53">
        <f>AC19*AD19</f>
        <v>82.7613105527638</v>
      </c>
      <c r="AG19" s="32">
        <v>23</v>
      </c>
    </row>
    <row r="20" spans="1:33" ht="14.25">
      <c r="A20" s="56">
        <v>43331</v>
      </c>
      <c r="C20" s="32">
        <f>B20*AD20</f>
        <v>0</v>
      </c>
      <c r="E20" s="32">
        <f>D20*AD20</f>
        <v>0</v>
      </c>
      <c r="F20" s="32">
        <v>558</v>
      </c>
      <c r="G20" s="32">
        <f>F20*AD20</f>
        <v>69.7595336683417</v>
      </c>
      <c r="I20" s="32">
        <f>H20*AD20</f>
        <v>0</v>
      </c>
      <c r="J20" s="32">
        <v>4500</v>
      </c>
      <c r="K20" s="32">
        <f>J20*AD20</f>
        <v>562.5768844221104</v>
      </c>
      <c r="L20" s="32">
        <v>310</v>
      </c>
      <c r="M20" s="32">
        <f>L20*AD20</f>
        <v>38.75529648241206</v>
      </c>
      <c r="O20" s="32">
        <f>N20*AD20</f>
        <v>0</v>
      </c>
      <c r="Q20" s="32">
        <f>P20*AD20</f>
        <v>0</v>
      </c>
      <c r="T20" s="32" t="s">
        <v>137</v>
      </c>
      <c r="AB20" s="60" t="s">
        <v>244</v>
      </c>
      <c r="AC20" s="32">
        <f>B20+D20+F20+H20+J20+L20+N20+P20</f>
        <v>5368</v>
      </c>
      <c r="AD20" s="53">
        <f>(1169.32+74.6)/9950</f>
        <v>0.12501708542713566</v>
      </c>
      <c r="AE20" s="53">
        <f>AC20*AD20</f>
        <v>671.0917145728642</v>
      </c>
      <c r="AG20" s="32">
        <v>23</v>
      </c>
    </row>
    <row r="21" spans="1:33" ht="14.25">
      <c r="A21" s="56">
        <v>43332</v>
      </c>
      <c r="C21" s="32">
        <f>B21*AD21</f>
        <v>0</v>
      </c>
      <c r="D21" s="32">
        <f>72+92+37</f>
        <v>201</v>
      </c>
      <c r="E21" s="32">
        <f>D21*AD21</f>
        <v>25.128434170854266</v>
      </c>
      <c r="F21" s="32">
        <v>130</v>
      </c>
      <c r="G21" s="32">
        <f>F21*AD21</f>
        <v>16.252221105527635</v>
      </c>
      <c r="I21" s="32">
        <f>H21*AD21</f>
        <v>0</v>
      </c>
      <c r="K21" s="32">
        <f>J21*AD21</f>
        <v>0</v>
      </c>
      <c r="L21" s="32">
        <v>310</v>
      </c>
      <c r="M21" s="32">
        <f>L21*AD21</f>
        <v>38.75529648241206</v>
      </c>
      <c r="O21" s="32">
        <f>N21*AD21</f>
        <v>0</v>
      </c>
      <c r="Q21" s="32">
        <f>P21*AD21</f>
        <v>0</v>
      </c>
      <c r="T21" s="32" t="s">
        <v>137</v>
      </c>
      <c r="AB21" s="60" t="s">
        <v>244</v>
      </c>
      <c r="AC21" s="32">
        <f>B21+D21+F21+H21+J21+L21+N21+P21</f>
        <v>641</v>
      </c>
      <c r="AD21" s="53">
        <f>(1169.32+74.6)/9950</f>
        <v>0.12501708542713566</v>
      </c>
      <c r="AE21" s="53">
        <f>AC21*AD21</f>
        <v>80.13595175879396</v>
      </c>
      <c r="AG21" s="32">
        <v>23</v>
      </c>
    </row>
    <row r="22" spans="1:33" ht="14.25">
      <c r="A22" s="56">
        <v>43333</v>
      </c>
      <c r="C22" s="32">
        <f>B22*AD22</f>
        <v>0</v>
      </c>
      <c r="D22" s="32">
        <f>72+118</f>
        <v>190</v>
      </c>
      <c r="E22" s="32">
        <f>D22*AD22</f>
        <v>23.753246231155774</v>
      </c>
      <c r="F22" s="32">
        <v>100</v>
      </c>
      <c r="G22" s="32">
        <f>F22*AD22</f>
        <v>12.501708542713565</v>
      </c>
      <c r="I22" s="32">
        <f>H22*AD22</f>
        <v>0</v>
      </c>
      <c r="K22" s="32">
        <f>J22*AD22</f>
        <v>0</v>
      </c>
      <c r="L22" s="32">
        <v>310</v>
      </c>
      <c r="M22" s="32">
        <f>L22*AD22</f>
        <v>38.75529648241206</v>
      </c>
      <c r="O22" s="32">
        <f>N22*AD22</f>
        <v>0</v>
      </c>
      <c r="Q22" s="32">
        <f>P22*AD22</f>
        <v>0</v>
      </c>
      <c r="T22" s="32" t="s">
        <v>137</v>
      </c>
      <c r="AB22" s="60" t="s">
        <v>244</v>
      </c>
      <c r="AC22" s="32">
        <f>B22+D22+F22+H22+J22+L22+N22+P22</f>
        <v>600</v>
      </c>
      <c r="AD22" s="53">
        <f>(1169.32+74.6)/9950</f>
        <v>0.12501708542713566</v>
      </c>
      <c r="AE22" s="53">
        <f>AC22*AD22</f>
        <v>75.01025125628139</v>
      </c>
      <c r="AG22" s="32">
        <v>23</v>
      </c>
    </row>
    <row r="23" spans="1:33" ht="14.25">
      <c r="A23" s="56">
        <v>43334</v>
      </c>
      <c r="B23" s="32">
        <f>350*2</f>
        <v>700</v>
      </c>
      <c r="C23" s="32">
        <f>B23*AD23</f>
        <v>87.51195979899497</v>
      </c>
      <c r="D23" s="32">
        <f>22+37+28+25</f>
        <v>112</v>
      </c>
      <c r="E23" s="32">
        <f>D23*AD23</f>
        <v>14.001913567839194</v>
      </c>
      <c r="F23" s="32">
        <v>200</v>
      </c>
      <c r="G23" s="32">
        <f>F23*AD23</f>
        <v>25.00341708542713</v>
      </c>
      <c r="I23" s="32">
        <f>H23*AD23</f>
        <v>0</v>
      </c>
      <c r="K23" s="32">
        <f>J23*AD23</f>
        <v>0</v>
      </c>
      <c r="L23" s="32">
        <v>310</v>
      </c>
      <c r="M23" s="32">
        <f>L23*AD23</f>
        <v>38.75529648241206</v>
      </c>
      <c r="O23" s="32">
        <f>N23*AD23</f>
        <v>0</v>
      </c>
      <c r="Q23" s="32">
        <f>P23*AD23</f>
        <v>0</v>
      </c>
      <c r="T23" s="32" t="s">
        <v>137</v>
      </c>
      <c r="AB23" s="60" t="s">
        <v>244</v>
      </c>
      <c r="AC23" s="32">
        <f>B23+D23+F23+H23+J23+L23+N23+P23</f>
        <v>1322</v>
      </c>
      <c r="AD23" s="53">
        <f>(1169.32+74.6)/9950</f>
        <v>0.12501708542713566</v>
      </c>
      <c r="AE23" s="53">
        <f>AC23*AD23</f>
        <v>165.27258693467334</v>
      </c>
      <c r="AG23" s="32">
        <v>23</v>
      </c>
    </row>
    <row r="24" spans="1:33" ht="14.25">
      <c r="A24" s="56">
        <v>43335</v>
      </c>
      <c r="B24" s="32">
        <f>38*2</f>
        <v>76</v>
      </c>
      <c r="C24" s="32">
        <f>B24*AD24</f>
        <v>9.50129849246231</v>
      </c>
      <c r="D24" s="32">
        <f>117+40</f>
        <v>157</v>
      </c>
      <c r="E24" s="32">
        <f>D24*AD24</f>
        <v>19.6276824120603</v>
      </c>
      <c r="F24" s="32">
        <v>80</v>
      </c>
      <c r="G24" s="32">
        <f>F24*AD24</f>
        <v>10.001366834170852</v>
      </c>
      <c r="I24" s="32">
        <f>H24*AD24</f>
        <v>0</v>
      </c>
      <c r="K24" s="32">
        <f>J24*AD24</f>
        <v>0</v>
      </c>
      <c r="L24" s="32">
        <v>200</v>
      </c>
      <c r="M24" s="32">
        <f>L24*AD24</f>
        <v>25.00341708542713</v>
      </c>
      <c r="O24" s="32">
        <f>N24*AD24</f>
        <v>0</v>
      </c>
      <c r="Q24" s="32">
        <f>P24*AD24</f>
        <v>0</v>
      </c>
      <c r="T24" s="32" t="s">
        <v>137</v>
      </c>
      <c r="AB24" s="60" t="s">
        <v>245</v>
      </c>
      <c r="AC24" s="32">
        <f>B24+D24+F24+H24+J24+L24+N24+P24</f>
        <v>513</v>
      </c>
      <c r="AD24" s="53">
        <f>(1169.32+74.6)/9950</f>
        <v>0.12501708542713566</v>
      </c>
      <c r="AE24" s="53">
        <f>AC24*AD24</f>
        <v>64.13376482412059</v>
      </c>
      <c r="AG24" s="32">
        <v>23</v>
      </c>
    </row>
    <row r="25" spans="1:33" ht="12.75">
      <c r="A25" s="56">
        <v>43336</v>
      </c>
      <c r="C25" s="32">
        <f>B25*AD25</f>
        <v>0</v>
      </c>
      <c r="D25" s="32">
        <f>85+25</f>
        <v>110</v>
      </c>
      <c r="E25" s="32">
        <f>D25*AD25</f>
        <v>13.751879396984922</v>
      </c>
      <c r="F25" s="32">
        <f>180</f>
        <v>180</v>
      </c>
      <c r="G25" s="32">
        <f>F25*AD25</f>
        <v>22.503075376884418</v>
      </c>
      <c r="I25" s="32">
        <f>H25*AD25</f>
        <v>0</v>
      </c>
      <c r="K25" s="32">
        <f>J25*AD25</f>
        <v>0</v>
      </c>
      <c r="L25" s="32">
        <v>200</v>
      </c>
      <c r="M25" s="32">
        <f>L25*AD25</f>
        <v>25.00341708542713</v>
      </c>
      <c r="O25" s="32">
        <f>N25*AD25</f>
        <v>0</v>
      </c>
      <c r="Q25" s="32">
        <f>P25*AD25</f>
        <v>0</v>
      </c>
      <c r="T25" s="32" t="s">
        <v>137</v>
      </c>
      <c r="AB25" s="60" t="s">
        <v>240</v>
      </c>
      <c r="AC25" s="32">
        <f>B25+D25+F25+H25+J25+L25+N25+P25</f>
        <v>490</v>
      </c>
      <c r="AD25" s="53">
        <f>(1169.32+74.6)/9950</f>
        <v>0.12501708542713566</v>
      </c>
      <c r="AE25" s="53">
        <f>AC25*AD25</f>
        <v>61.258371859296474</v>
      </c>
      <c r="AG25" s="32">
        <v>23</v>
      </c>
    </row>
    <row r="26" spans="1:33" ht="12.75">
      <c r="A26" s="56">
        <v>43337</v>
      </c>
      <c r="C26" s="32">
        <f>B26*AD26</f>
        <v>0</v>
      </c>
      <c r="D26" s="32">
        <f>165+50</f>
        <v>215</v>
      </c>
      <c r="E26" s="32">
        <f>D26*AD26</f>
        <v>26.878673366834168</v>
      </c>
      <c r="F26" s="32">
        <v>170</v>
      </c>
      <c r="G26" s="32">
        <f>F26*AD26</f>
        <v>21.25290452261306</v>
      </c>
      <c r="I26" s="32">
        <f>H26*AD26</f>
        <v>0</v>
      </c>
      <c r="K26" s="32">
        <f>J26*AD26</f>
        <v>0</v>
      </c>
      <c r="L26" s="32">
        <v>200</v>
      </c>
      <c r="M26" s="32">
        <f>L26*AD26</f>
        <v>25.00341708542713</v>
      </c>
      <c r="O26" s="32">
        <f>N26*AD26</f>
        <v>0</v>
      </c>
      <c r="Q26" s="32">
        <f>P26*AD26</f>
        <v>0</v>
      </c>
      <c r="T26" s="32" t="s">
        <v>137</v>
      </c>
      <c r="AB26" s="60" t="s">
        <v>240</v>
      </c>
      <c r="AC26" s="32">
        <f>B26+D26+F26+H26+J26+L26+N26+P26</f>
        <v>585</v>
      </c>
      <c r="AD26" s="53">
        <f>(1169.32+74.6)/9950</f>
        <v>0.12501708542713566</v>
      </c>
      <c r="AE26" s="53">
        <f>AC26*AD26</f>
        <v>73.13499497487436</v>
      </c>
      <c r="AG26" s="32">
        <v>23</v>
      </c>
    </row>
    <row r="27" spans="1:33" ht="12.75">
      <c r="A27" s="56">
        <v>43338</v>
      </c>
      <c r="C27" s="32">
        <f>B27*AD27</f>
        <v>0</v>
      </c>
      <c r="D27" s="32">
        <f>93+50</f>
        <v>143</v>
      </c>
      <c r="E27" s="32">
        <f>D27*AD27</f>
        <v>17.8774432160804</v>
      </c>
      <c r="F27" s="32">
        <v>160</v>
      </c>
      <c r="G27" s="32">
        <f>F27*AD27</f>
        <v>20.002733668341705</v>
      </c>
      <c r="I27" s="32">
        <f>H27*AD27</f>
        <v>0</v>
      </c>
      <c r="K27" s="32">
        <f>J27*AD27</f>
        <v>0</v>
      </c>
      <c r="L27" s="32">
        <v>200</v>
      </c>
      <c r="M27" s="32">
        <f>L27*AD27</f>
        <v>25.00341708542713</v>
      </c>
      <c r="O27" s="32">
        <f>N27*AD27</f>
        <v>0</v>
      </c>
      <c r="Q27" s="32">
        <f>P27*AD27</f>
        <v>0</v>
      </c>
      <c r="T27" s="32" t="s">
        <v>137</v>
      </c>
      <c r="AB27" s="32" t="s">
        <v>240</v>
      </c>
      <c r="AC27" s="32">
        <f>B27+D27+F27+H27+J27+L27+N27+P27</f>
        <v>503</v>
      </c>
      <c r="AD27" s="53">
        <f>(1169.32+74.6)/9950</f>
        <v>0.12501708542713566</v>
      </c>
      <c r="AE27" s="53">
        <f>AC27*AD27</f>
        <v>62.88359396984924</v>
      </c>
      <c r="AG27" s="32">
        <v>23</v>
      </c>
    </row>
    <row r="28" spans="1:33" ht="12.75">
      <c r="A28" s="56">
        <v>43339</v>
      </c>
      <c r="C28" s="32">
        <f>B28*AD28</f>
        <v>0</v>
      </c>
      <c r="D28" s="32">
        <f>141+40</f>
        <v>181</v>
      </c>
      <c r="E28" s="32">
        <f>D28*AD28</f>
        <v>22.628092462311553</v>
      </c>
      <c r="F28" s="32">
        <v>160</v>
      </c>
      <c r="G28" s="32">
        <f>F28*AD28</f>
        <v>20.002733668341705</v>
      </c>
      <c r="I28" s="32">
        <f>H28*AD28</f>
        <v>0</v>
      </c>
      <c r="K28" s="32">
        <f>J28*AD28</f>
        <v>0</v>
      </c>
      <c r="L28" s="32">
        <v>200</v>
      </c>
      <c r="M28" s="32">
        <f>L28*AD28</f>
        <v>25.00341708542713</v>
      </c>
      <c r="O28" s="32">
        <f>N28*AD28</f>
        <v>0</v>
      </c>
      <c r="Q28" s="32">
        <f>P28*AD28</f>
        <v>0</v>
      </c>
      <c r="T28" s="32" t="s">
        <v>137</v>
      </c>
      <c r="AB28" s="32" t="s">
        <v>240</v>
      </c>
      <c r="AC28" s="32">
        <f>B28+D28+F28+H28+J28+L28+N28+P28</f>
        <v>541</v>
      </c>
      <c r="AD28" s="53">
        <f>(1169.32+74.6)/9950</f>
        <v>0.12501708542713566</v>
      </c>
      <c r="AE28" s="53">
        <f>AC28*AD28</f>
        <v>67.63424321608039</v>
      </c>
      <c r="AG28" s="32">
        <v>23</v>
      </c>
    </row>
    <row r="29" spans="1:33" ht="12.75">
      <c r="A29" s="56">
        <v>43340</v>
      </c>
      <c r="B29" s="32">
        <f>80*2+15*2</f>
        <v>190</v>
      </c>
      <c r="C29" s="32">
        <f>B29*AD29</f>
        <v>23.753246231155774</v>
      </c>
      <c r="D29" s="32">
        <f>103+4</f>
        <v>107</v>
      </c>
      <c r="E29" s="32">
        <f>D29*AD29</f>
        <v>13.376828140703516</v>
      </c>
      <c r="F29" s="32">
        <v>120</v>
      </c>
      <c r="G29" s="32">
        <f>F29*AD29</f>
        <v>15.002050251256279</v>
      </c>
      <c r="I29" s="32">
        <f>H29*AD29</f>
        <v>0</v>
      </c>
      <c r="K29" s="32">
        <f>J29*AD29</f>
        <v>0</v>
      </c>
      <c r="L29" s="32">
        <v>440</v>
      </c>
      <c r="M29" s="32">
        <f>L29*AD29</f>
        <v>55.00751758793969</v>
      </c>
      <c r="O29" s="32">
        <f>N29*AD29</f>
        <v>0</v>
      </c>
      <c r="Q29" s="32">
        <f>P29*AD29</f>
        <v>0</v>
      </c>
      <c r="T29" s="32" t="s">
        <v>137</v>
      </c>
      <c r="AB29" s="32" t="s">
        <v>246</v>
      </c>
      <c r="AC29" s="32">
        <f>B29+D29+F29+H29+J29+L29+N29+P29</f>
        <v>857</v>
      </c>
      <c r="AD29" s="53">
        <f>(1169.32+74.6)/9950</f>
        <v>0.12501708542713566</v>
      </c>
      <c r="AE29" s="53">
        <f>AC29*AD29</f>
        <v>107.13964221105526</v>
      </c>
      <c r="AG29" s="32">
        <v>23</v>
      </c>
    </row>
    <row r="30" spans="1:33" ht="12.75">
      <c r="A30" s="56">
        <v>43341</v>
      </c>
      <c r="B30" s="32">
        <f>28*2</f>
        <v>56</v>
      </c>
      <c r="C30" s="32">
        <f>B30*AD30</f>
        <v>7.000956783919597</v>
      </c>
      <c r="D30" s="32">
        <f>208+32</f>
        <v>240</v>
      </c>
      <c r="E30" s="32">
        <f>D30*AD30</f>
        <v>30.004100502512557</v>
      </c>
      <c r="F30" s="32">
        <v>80</v>
      </c>
      <c r="G30" s="32">
        <f>F30*AD30</f>
        <v>10.001366834170852</v>
      </c>
      <c r="I30" s="32">
        <f>H30*AD30</f>
        <v>0</v>
      </c>
      <c r="K30" s="32">
        <f>J30*AD30</f>
        <v>0</v>
      </c>
      <c r="L30" s="32">
        <v>380</v>
      </c>
      <c r="M30" s="32">
        <f>L30*AD30</f>
        <v>47.50649246231155</v>
      </c>
      <c r="O30" s="32">
        <f>N30*AD30</f>
        <v>0</v>
      </c>
      <c r="Q30" s="32">
        <f>P30*AD30</f>
        <v>0</v>
      </c>
      <c r="Y30" s="32" t="s">
        <v>137</v>
      </c>
      <c r="AB30" s="32" t="s">
        <v>247</v>
      </c>
      <c r="AC30" s="32">
        <f>B30+D30+F30+H30+J30+L30+N30+P30</f>
        <v>756</v>
      </c>
      <c r="AD30" s="53">
        <f>(1169.32+74.6)/9950</f>
        <v>0.12501708542713566</v>
      </c>
      <c r="AE30" s="53">
        <f>AC30*AD30</f>
        <v>94.51291658291456</v>
      </c>
      <c r="AG30" s="32">
        <v>23</v>
      </c>
    </row>
    <row r="31" spans="1:33" ht="12.75">
      <c r="A31" s="56">
        <v>43342</v>
      </c>
      <c r="B31" s="32">
        <f>8*4</f>
        <v>32</v>
      </c>
      <c r="C31" s="32">
        <f>B31*AD31</f>
        <v>4.000546733668341</v>
      </c>
      <c r="D31" s="32">
        <f>90+30</f>
        <v>120</v>
      </c>
      <c r="E31" s="32">
        <f>D31*AD31</f>
        <v>15.002050251256279</v>
      </c>
      <c r="F31" s="32">
        <v>95</v>
      </c>
      <c r="G31" s="32">
        <f>F31*AD31</f>
        <v>11.876623115577887</v>
      </c>
      <c r="I31" s="32">
        <f>H31*AD31</f>
        <v>0</v>
      </c>
      <c r="K31" s="32">
        <f>J31*AD31</f>
        <v>0</v>
      </c>
      <c r="L31" s="32">
        <v>380</v>
      </c>
      <c r="M31" s="32">
        <f>L31*AD31</f>
        <v>47.50649246231155</v>
      </c>
      <c r="O31" s="32">
        <f>N31*AD31</f>
        <v>0</v>
      </c>
      <c r="Q31" s="32">
        <f>P31*AD31</f>
        <v>0</v>
      </c>
      <c r="Y31" s="32" t="s">
        <v>137</v>
      </c>
      <c r="AB31" s="32" t="s">
        <v>248</v>
      </c>
      <c r="AC31" s="32">
        <f>B31+D31+F31+H31+J31+L31+N31+P31</f>
        <v>627</v>
      </c>
      <c r="AD31" s="53">
        <f>(1169.32+74.6)/9950</f>
        <v>0.12501708542713566</v>
      </c>
      <c r="AE31" s="53">
        <f>AC31*AD31</f>
        <v>78.38571256281406</v>
      </c>
      <c r="AG31" s="32">
        <v>23</v>
      </c>
    </row>
    <row r="32" spans="1:33" ht="12.75">
      <c r="A32" s="56">
        <v>43343</v>
      </c>
      <c r="C32" s="32">
        <f>B32*AD32</f>
        <v>0</v>
      </c>
      <c r="D32" s="32">
        <f>84+10</f>
        <v>94</v>
      </c>
      <c r="E32" s="32">
        <f>D32*AD32</f>
        <v>11.751606030150752</v>
      </c>
      <c r="F32" s="32">
        <v>80</v>
      </c>
      <c r="G32" s="32">
        <f>F32*AD32</f>
        <v>10.001366834170852</v>
      </c>
      <c r="I32" s="32">
        <f>H32*AD32</f>
        <v>0</v>
      </c>
      <c r="K32" s="32">
        <f>J32*AD32</f>
        <v>0</v>
      </c>
      <c r="L32" s="32">
        <v>380</v>
      </c>
      <c r="M32" s="32">
        <f>L32*AD32</f>
        <v>47.50649246231155</v>
      </c>
      <c r="O32" s="32">
        <f>N32*AD32</f>
        <v>0</v>
      </c>
      <c r="Q32" s="32">
        <f>P32*AD32</f>
        <v>0</v>
      </c>
      <c r="Y32" s="32" t="s">
        <v>137</v>
      </c>
      <c r="AB32" s="32" t="s">
        <v>248</v>
      </c>
      <c r="AC32" s="32">
        <f>B32+D32+F32+H32+J32+L32+N32+P32</f>
        <v>554</v>
      </c>
      <c r="AD32" s="53">
        <f>(1169.32+74.6)/9950</f>
        <v>0.12501708542713566</v>
      </c>
      <c r="AE32" s="53">
        <f>AC32*AD32</f>
        <v>69.25946532663316</v>
      </c>
      <c r="AG32" s="32">
        <v>23</v>
      </c>
    </row>
    <row r="33" spans="1:33" ht="12.75">
      <c r="A33" s="56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f>(1169.32+74.6)/9950</f>
        <v>0.12501708542713566</v>
      </c>
      <c r="AE33" s="53">
        <f>AC33*AD33</f>
        <v>0</v>
      </c>
      <c r="AG33" s="32">
        <v>23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(1169.32+74.6)/9950</f>
        <v>0.12501708542713566</v>
      </c>
      <c r="AE34" s="53">
        <f>AC34*AD34</f>
        <v>0</v>
      </c>
      <c r="AG34" s="32">
        <v>23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(1169.32+74.6)/9950</f>
        <v>0.12501708542713566</v>
      </c>
      <c r="AE35" s="53">
        <f>AC35*AD35</f>
        <v>0</v>
      </c>
      <c r="AG35" s="32">
        <v>22</v>
      </c>
    </row>
    <row r="36" spans="3:33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53">
        <f>(1169.32+74.6)/9950</f>
        <v>0.12501708542713566</v>
      </c>
      <c r="AE36" s="53">
        <f>AC36*AD36</f>
        <v>0</v>
      </c>
      <c r="AG36" s="32">
        <v>22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H1">
      <selection activeCell="AR7" sqref="AR7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43344</v>
      </c>
      <c r="C2" s="32">
        <f>B2*AD2</f>
        <v>0</v>
      </c>
      <c r="D2" s="32">
        <f>121</f>
        <v>121</v>
      </c>
      <c r="E2" s="32">
        <f>D2*AD2</f>
        <v>16.697148743718593</v>
      </c>
      <c r="F2" s="32">
        <v>80</v>
      </c>
      <c r="G2" s="32">
        <f>F2*AD2</f>
        <v>11.039437185929648</v>
      </c>
      <c r="I2" s="32">
        <f>H2*AD2</f>
        <v>0</v>
      </c>
      <c r="K2" s="32">
        <f>J2*AD2</f>
        <v>0</v>
      </c>
      <c r="L2" s="32">
        <v>345</v>
      </c>
      <c r="M2" s="32">
        <f>L2*AD2</f>
        <v>47.607572864321604</v>
      </c>
      <c r="O2" s="32">
        <f>N2*AD2</f>
        <v>0</v>
      </c>
      <c r="Q2" s="32">
        <f>P2*AD2</f>
        <v>0</v>
      </c>
      <c r="Y2" s="32" t="s">
        <v>137</v>
      </c>
      <c r="AB2" s="32" t="s">
        <v>248</v>
      </c>
      <c r="AC2" s="32">
        <f>B2+D2+F2+H2+J2+L2+N2+P2</f>
        <v>546</v>
      </c>
      <c r="AD2" s="53">
        <f>(1373.03)/9950</f>
        <v>0.1379929648241206</v>
      </c>
      <c r="AE2" s="53">
        <f>AC2*AD2</f>
        <v>75.34415879396985</v>
      </c>
      <c r="AG2" s="32">
        <v>23</v>
      </c>
      <c r="AI2" s="32" t="s">
        <v>139</v>
      </c>
      <c r="AJ2" s="55">
        <f>SUM($AE$2:$AE$995)</f>
        <v>3049.2835346733705</v>
      </c>
      <c r="AL2" s="32" t="s">
        <v>140</v>
      </c>
      <c r="AM2" s="57">
        <f>$AJ$2/$AJ$5</f>
        <v>101.64278448911234</v>
      </c>
      <c r="AO2" s="32" t="s">
        <v>141</v>
      </c>
      <c r="AP2" s="32">
        <f>COUNTBLANK(L2:L41)-COUNTBLANK(A2:A41)</f>
        <v>4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43345</v>
      </c>
      <c r="B3" s="32">
        <f>100+49*2</f>
        <v>198</v>
      </c>
      <c r="C3" s="32">
        <f>B3*AD3</f>
        <v>27.322607035175878</v>
      </c>
      <c r="D3" s="32">
        <f>151</f>
        <v>151</v>
      </c>
      <c r="E3" s="32">
        <f>D3*AD3</f>
        <v>20.836937688442212</v>
      </c>
      <c r="F3" s="32">
        <f>70+100</f>
        <v>170</v>
      </c>
      <c r="G3" s="32">
        <f>F3*AD3</f>
        <v>23.4588040201005</v>
      </c>
      <c r="I3" s="32">
        <f>H3*AD3</f>
        <v>0</v>
      </c>
      <c r="K3" s="32">
        <f>J3*AD3</f>
        <v>0</v>
      </c>
      <c r="L3" s="32">
        <v>310</v>
      </c>
      <c r="M3" s="32">
        <f>L3*AD3</f>
        <v>42.77781909547738</v>
      </c>
      <c r="O3" s="32">
        <f>N3*AD3</f>
        <v>0</v>
      </c>
      <c r="Q3" s="32">
        <f>P3*AD3</f>
        <v>0</v>
      </c>
      <c r="T3" s="32" t="s">
        <v>137</v>
      </c>
      <c r="AB3" s="32" t="s">
        <v>249</v>
      </c>
      <c r="AC3" s="32">
        <f>B3+D3+F3+H3+J3+L3+N3+P3</f>
        <v>829</v>
      </c>
      <c r="AD3" s="53">
        <f>(1373.03)/9950</f>
        <v>0.1379929648241206</v>
      </c>
      <c r="AE3" s="53">
        <f>AC3*AD3</f>
        <v>114.39616783919598</v>
      </c>
      <c r="AG3" s="32">
        <v>23</v>
      </c>
      <c r="AI3" s="59"/>
      <c r="AL3" s="59"/>
      <c r="AM3" s="57"/>
      <c r="AO3" s="32" t="s">
        <v>145</v>
      </c>
      <c r="AP3" s="32">
        <f>COUNT(L2:L37)</f>
        <v>26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43346</v>
      </c>
      <c r="C4" s="32">
        <f>B4*AD4</f>
        <v>0</v>
      </c>
      <c r="D4" s="32">
        <f>37+106+50+25</f>
        <v>218</v>
      </c>
      <c r="E4" s="32">
        <f>D4*AD4</f>
        <v>30.082466331658292</v>
      </c>
      <c r="F4" s="32">
        <v>70</v>
      </c>
      <c r="G4" s="32">
        <f>F4*AD4</f>
        <v>9.659507537688443</v>
      </c>
      <c r="I4" s="32">
        <f>H4*AD4</f>
        <v>0</v>
      </c>
      <c r="K4" s="32">
        <f>J4*AD4</f>
        <v>0</v>
      </c>
      <c r="L4" s="32">
        <v>310</v>
      </c>
      <c r="M4" s="32">
        <f>L4*AD4</f>
        <v>42.77781909547738</v>
      </c>
      <c r="O4" s="32">
        <f>N4*AD4</f>
        <v>0</v>
      </c>
      <c r="Q4" s="32">
        <f>P4*AD4</f>
        <v>0</v>
      </c>
      <c r="T4" s="32" t="s">
        <v>137</v>
      </c>
      <c r="AB4" s="32" t="s">
        <v>250</v>
      </c>
      <c r="AC4" s="32">
        <f>B4+D4+F4+H4+J4+L4+N4+P4</f>
        <v>598</v>
      </c>
      <c r="AD4" s="53">
        <f>(1373.03)/9950</f>
        <v>0.1379929648241206</v>
      </c>
      <c r="AE4" s="53">
        <f>AC4*AD4</f>
        <v>82.51979296482412</v>
      </c>
      <c r="AG4" s="32">
        <v>23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43347</v>
      </c>
      <c r="C5" s="32">
        <f>B5*AD5</f>
        <v>0</v>
      </c>
      <c r="D5" s="4">
        <f>65</f>
        <v>65</v>
      </c>
      <c r="E5" s="32">
        <f>D5*AD5</f>
        <v>8.969542713567838</v>
      </c>
      <c r="F5" s="32">
        <f>70+90</f>
        <v>160</v>
      </c>
      <c r="G5" s="32">
        <f>F5*AD5</f>
        <v>22.078874371859296</v>
      </c>
      <c r="I5" s="32">
        <f>H5*AD5</f>
        <v>0</v>
      </c>
      <c r="K5" s="32">
        <f>J5*AD5</f>
        <v>0</v>
      </c>
      <c r="L5" s="32">
        <v>310</v>
      </c>
      <c r="M5" s="32">
        <f>L5*AD5</f>
        <v>42.77781909547738</v>
      </c>
      <c r="O5" s="32">
        <f>N5*AD5</f>
        <v>0</v>
      </c>
      <c r="Q5" s="32">
        <f>P5*AD5</f>
        <v>0</v>
      </c>
      <c r="T5" s="32" t="s">
        <v>137</v>
      </c>
      <c r="AB5" s="32" t="s">
        <v>250</v>
      </c>
      <c r="AC5" s="32">
        <f>B5+D5+F5+H5+J5+L5+N5+P5</f>
        <v>535</v>
      </c>
      <c r="AD5" s="53">
        <f>(1373.03)/9950</f>
        <v>0.1379929648241206</v>
      </c>
      <c r="AE5" s="53">
        <f>AC5*AD5</f>
        <v>73.82623618090452</v>
      </c>
      <c r="AG5" s="32">
        <v>23</v>
      </c>
      <c r="AI5" s="32" t="s">
        <v>153</v>
      </c>
      <c r="AJ5" s="32">
        <f>COUNTA(A2:A350)</f>
        <v>30</v>
      </c>
      <c r="AO5" s="32" t="s">
        <v>154</v>
      </c>
      <c r="AP5" s="32">
        <f>COUNTA(R2:R50)</f>
        <v>0</v>
      </c>
    </row>
    <row r="6" spans="1:42" ht="14.25">
      <c r="A6" s="56"/>
      <c r="C6" s="32">
        <f>B6*AD6</f>
        <v>0</v>
      </c>
      <c r="D6" s="4"/>
      <c r="E6" s="32">
        <f>D6*AD6</f>
        <v>0</v>
      </c>
      <c r="G6" s="32">
        <f>F6*AD6</f>
        <v>0</v>
      </c>
      <c r="I6" s="32">
        <f>H6*AD6</f>
        <v>0</v>
      </c>
      <c r="K6" s="32">
        <f>J6*AD6</f>
        <v>0</v>
      </c>
      <c r="M6" s="32">
        <f>L6*AD6</f>
        <v>0</v>
      </c>
      <c r="O6" s="32">
        <f>N6*AD6</f>
        <v>0</v>
      </c>
      <c r="P6" s="32">
        <v>100</v>
      </c>
      <c r="Q6" s="32">
        <f>P6*AD6</f>
        <v>440.00000000000006</v>
      </c>
      <c r="AC6" s="32">
        <f>B6+D6+F6+H6+J6+L6+N6+P6</f>
        <v>100</v>
      </c>
      <c r="AD6" s="53">
        <v>4.4</v>
      </c>
      <c r="AE6" s="53">
        <f>AC6*AD6</f>
        <v>440.00000000000006</v>
      </c>
      <c r="AG6" s="32">
        <v>24</v>
      </c>
      <c r="AI6" s="59"/>
      <c r="AO6" s="32" t="s">
        <v>156</v>
      </c>
      <c r="AP6" s="32">
        <f>COUNTA(T2:T50)</f>
        <v>28</v>
      </c>
    </row>
    <row r="7" spans="1:42" ht="14.25">
      <c r="A7" s="56">
        <v>43348</v>
      </c>
      <c r="C7" s="32">
        <f>B7*AD7</f>
        <v>0</v>
      </c>
      <c r="D7" s="32">
        <f>63</f>
        <v>63</v>
      </c>
      <c r="E7" s="32">
        <f>D7*AD7</f>
        <v>8.693556783919599</v>
      </c>
      <c r="F7" s="32">
        <f>35*4</f>
        <v>140</v>
      </c>
      <c r="G7" s="32">
        <f>F7*AD7</f>
        <v>19.319015075376885</v>
      </c>
      <c r="I7" s="32">
        <f>H7*AD7</f>
        <v>0</v>
      </c>
      <c r="K7" s="32">
        <f>J7*AD7</f>
        <v>0</v>
      </c>
      <c r="L7" s="32">
        <v>310</v>
      </c>
      <c r="M7" s="32">
        <f>L7*AD7</f>
        <v>42.77781909547738</v>
      </c>
      <c r="O7" s="32">
        <f>N7*AD7</f>
        <v>0</v>
      </c>
      <c r="Q7" s="32">
        <f>P7*AD7</f>
        <v>0</v>
      </c>
      <c r="T7" s="32" t="s">
        <v>137</v>
      </c>
      <c r="AB7" s="32" t="s">
        <v>250</v>
      </c>
      <c r="AC7" s="32">
        <f>B7+D7+F7+H7+J7+L7+N7+P7</f>
        <v>513</v>
      </c>
      <c r="AD7" s="53">
        <f>(1373.03)/9950</f>
        <v>0.1379929648241206</v>
      </c>
      <c r="AE7" s="53">
        <f>AC7*AD7</f>
        <v>70.79039095477387</v>
      </c>
      <c r="AG7" s="32">
        <v>23</v>
      </c>
      <c r="AL7" s="32" t="s">
        <v>158</v>
      </c>
      <c r="AO7" s="32" t="s">
        <v>126</v>
      </c>
      <c r="AP7" s="32">
        <f>COUNTA(U2:U50)</f>
        <v>0</v>
      </c>
    </row>
    <row r="8" spans="1:42" ht="14.25">
      <c r="A8" s="56">
        <v>43349</v>
      </c>
      <c r="C8" s="32">
        <f>B8*AD8</f>
        <v>0</v>
      </c>
      <c r="D8" s="32">
        <f>50+106</f>
        <v>156</v>
      </c>
      <c r="E8" s="32">
        <f>D8*AD8</f>
        <v>21.526902512562813</v>
      </c>
      <c r="F8" s="32">
        <f>90+70</f>
        <v>160</v>
      </c>
      <c r="G8" s="32">
        <f>F8*AD8</f>
        <v>22.078874371859296</v>
      </c>
      <c r="I8" s="32">
        <f>H8*AD8</f>
        <v>0</v>
      </c>
      <c r="K8" s="32">
        <f>J8*AD8</f>
        <v>0</v>
      </c>
      <c r="L8" s="32">
        <v>310</v>
      </c>
      <c r="M8" s="32">
        <f>L8*AD8</f>
        <v>42.77781909547738</v>
      </c>
      <c r="O8" s="32">
        <f>N8*AD8</f>
        <v>0</v>
      </c>
      <c r="Q8" s="32">
        <f>P8*AD8</f>
        <v>0</v>
      </c>
      <c r="T8" s="32" t="s">
        <v>137</v>
      </c>
      <c r="AB8" s="32" t="s">
        <v>250</v>
      </c>
      <c r="AC8" s="32">
        <f>B8+D8+F8+H8+J8+L8+N8+P8</f>
        <v>626</v>
      </c>
      <c r="AD8" s="53">
        <f>(1373.03)/9950</f>
        <v>0.1379929648241206</v>
      </c>
      <c r="AE8" s="53">
        <f>AC8*AD8</f>
        <v>86.3835959798995</v>
      </c>
      <c r="AG8" s="32">
        <v>23</v>
      </c>
      <c r="AI8" s="32" t="s">
        <v>160</v>
      </c>
      <c r="AJ8" s="55">
        <f>SUM(M2:M995)</f>
        <v>1167.134673695753</v>
      </c>
      <c r="AL8" s="32" t="s">
        <v>119</v>
      </c>
      <c r="AM8" s="55">
        <f>AJ8/$AJ$5</f>
        <v>38.904489123191766</v>
      </c>
      <c r="AO8" s="32" t="s">
        <v>161</v>
      </c>
      <c r="AP8" s="32">
        <f>COUNTA(S2:S50)</f>
        <v>0</v>
      </c>
    </row>
    <row r="9" spans="1:42" ht="14.25">
      <c r="A9" s="56">
        <v>43350</v>
      </c>
      <c r="B9" s="1"/>
      <c r="C9" s="32">
        <f>B9*AD9</f>
        <v>0</v>
      </c>
      <c r="D9" s="32">
        <f>65</f>
        <v>65</v>
      </c>
      <c r="E9" s="32">
        <f>D9*AD9</f>
        <v>8.969542713567838</v>
      </c>
      <c r="F9" s="32">
        <v>160</v>
      </c>
      <c r="G9" s="32">
        <f>F9*AD9</f>
        <v>22.078874371859296</v>
      </c>
      <c r="I9" s="32">
        <f>H9*AD9</f>
        <v>0</v>
      </c>
      <c r="K9" s="32">
        <f>J9*AD9</f>
        <v>0</v>
      </c>
      <c r="L9" s="32">
        <v>335</v>
      </c>
      <c r="M9" s="32">
        <f>L9*AD9</f>
        <v>46.2276432160804</v>
      </c>
      <c r="O9" s="32">
        <f>N9*AD9</f>
        <v>0</v>
      </c>
      <c r="Q9" s="32">
        <f>P9*AD9</f>
        <v>0</v>
      </c>
      <c r="T9" s="32" t="s">
        <v>137</v>
      </c>
      <c r="AB9" s="32" t="s">
        <v>250</v>
      </c>
      <c r="AC9" s="32">
        <f>B9+D9+F9+H9+J9+L9+N9+P9</f>
        <v>560</v>
      </c>
      <c r="AD9" s="53">
        <f>(1373.03)/9950</f>
        <v>0.1379929648241206</v>
      </c>
      <c r="AE9" s="53">
        <f>AC9*AD9</f>
        <v>77.27606030150754</v>
      </c>
      <c r="AG9" s="32">
        <v>23</v>
      </c>
      <c r="AI9" s="32" t="s">
        <v>163</v>
      </c>
      <c r="AJ9" s="55">
        <f>SUM(C2:C995)</f>
        <v>459.65729896756613</v>
      </c>
      <c r="AL9" s="32" t="s">
        <v>109</v>
      </c>
      <c r="AM9" s="55">
        <f>AJ9/$AJ$5</f>
        <v>15.321909965585538</v>
      </c>
      <c r="AO9" s="32" t="s">
        <v>127</v>
      </c>
      <c r="AP9" s="32">
        <f>COUNTA(V2:V51)</f>
        <v>0</v>
      </c>
    </row>
    <row r="10" spans="1:42" ht="14.25">
      <c r="A10" s="56">
        <v>43351</v>
      </c>
      <c r="C10" s="32">
        <f>B10*AD10</f>
        <v>0</v>
      </c>
      <c r="D10" s="32">
        <f>115</f>
        <v>115</v>
      </c>
      <c r="E10" s="32">
        <f>D10*AD10</f>
        <v>15.869190954773869</v>
      </c>
      <c r="F10" s="32">
        <v>90</v>
      </c>
      <c r="G10" s="32">
        <f>F10*AD10</f>
        <v>12.419366834170853</v>
      </c>
      <c r="I10" s="32">
        <f>H10*AD10</f>
        <v>0</v>
      </c>
      <c r="K10" s="32">
        <f>J10*AD10</f>
        <v>0</v>
      </c>
      <c r="L10" s="32">
        <v>335</v>
      </c>
      <c r="M10" s="32">
        <f>L10*AD10</f>
        <v>46.2276432160804</v>
      </c>
      <c r="O10" s="32">
        <f>N10*AD10</f>
        <v>0</v>
      </c>
      <c r="Q10" s="32">
        <f>P10*AD10</f>
        <v>0</v>
      </c>
      <c r="T10" s="32" t="s">
        <v>137</v>
      </c>
      <c r="AB10" s="32" t="s">
        <v>250</v>
      </c>
      <c r="AC10" s="32">
        <f>B10+D10+F10+H10+J10+L10+N10+P10</f>
        <v>540</v>
      </c>
      <c r="AD10" s="53">
        <f>(1373.03)/9950</f>
        <v>0.1379929648241206</v>
      </c>
      <c r="AE10" s="53">
        <f>AC10*AD10</f>
        <v>74.51620100502512</v>
      </c>
      <c r="AG10" s="32">
        <v>23</v>
      </c>
      <c r="AI10" s="32" t="s">
        <v>164</v>
      </c>
      <c r="AJ10" s="55">
        <f>SUM(E2:E995)</f>
        <v>308.16034382823216</v>
      </c>
      <c r="AL10" s="32" t="s">
        <v>51</v>
      </c>
      <c r="AM10" s="55">
        <f>AJ10/$AJ$5</f>
        <v>10.272011460941071</v>
      </c>
      <c r="AO10" s="32" t="s">
        <v>130</v>
      </c>
      <c r="AP10" s="32">
        <f>COUNTA(Y2:Y52)</f>
        <v>1</v>
      </c>
    </row>
    <row r="11" spans="1:42" ht="14.25">
      <c r="A11" s="56">
        <v>43352</v>
      </c>
      <c r="B11" s="32">
        <f>60+50*2</f>
        <v>160</v>
      </c>
      <c r="C11" s="32">
        <f>B11*AD11</f>
        <v>22.078874371859296</v>
      </c>
      <c r="D11" s="32">
        <v>74</v>
      </c>
      <c r="E11" s="32">
        <f>D11*AD11</f>
        <v>10.211479396984924</v>
      </c>
      <c r="F11" s="32">
        <f>30*2+40*2</f>
        <v>140</v>
      </c>
      <c r="G11" s="32">
        <f>F11*AD11</f>
        <v>19.319015075376885</v>
      </c>
      <c r="I11" s="32">
        <f>H11*AD11</f>
        <v>0</v>
      </c>
      <c r="J11" s="32">
        <v>6</v>
      </c>
      <c r="K11" s="32">
        <f>J11*AD11</f>
        <v>0.8279577889447236</v>
      </c>
      <c r="L11" s="32">
        <v>220</v>
      </c>
      <c r="M11" s="32">
        <f>L11*AD11</f>
        <v>30.35845226130653</v>
      </c>
      <c r="O11" s="32">
        <f>N11*AD11</f>
        <v>0</v>
      </c>
      <c r="Q11" s="32">
        <f>P11*AD11</f>
        <v>0</v>
      </c>
      <c r="T11" s="32" t="s">
        <v>137</v>
      </c>
      <c r="AB11" s="60" t="s">
        <v>251</v>
      </c>
      <c r="AC11" s="32">
        <f>B11+D11+F11+H11+J11+L11+N11+P11</f>
        <v>600</v>
      </c>
      <c r="AD11" s="53">
        <f>(1373.03)/9950</f>
        <v>0.1379929648241206</v>
      </c>
      <c r="AE11" s="53">
        <f>AC11*AD11</f>
        <v>82.79577889447236</v>
      </c>
      <c r="AG11" s="32">
        <v>23</v>
      </c>
      <c r="AI11" s="32" t="s">
        <v>165</v>
      </c>
      <c r="AJ11" s="55">
        <f>SUM(G2:G995)</f>
        <v>560.6596641023307</v>
      </c>
      <c r="AL11" s="32" t="s">
        <v>166</v>
      </c>
      <c r="AM11" s="55">
        <f>AJ11/$AJ$5</f>
        <v>18.688655470077688</v>
      </c>
      <c r="AO11" s="32" t="s">
        <v>167</v>
      </c>
      <c r="AP11" s="32">
        <f>COUNTA(Z2:Z53)</f>
        <v>1</v>
      </c>
    </row>
    <row r="12" spans="1:39" ht="14.25">
      <c r="A12" s="56">
        <v>43353</v>
      </c>
      <c r="C12" s="32">
        <f>B12*AD12</f>
        <v>0</v>
      </c>
      <c r="D12" s="32">
        <f>50+26</f>
        <v>76</v>
      </c>
      <c r="E12" s="32">
        <f>D12*AD12</f>
        <v>10.487465326633165</v>
      </c>
      <c r="F12" s="32">
        <f>90+70</f>
        <v>160</v>
      </c>
      <c r="G12" s="32">
        <f>F12*AD12</f>
        <v>22.078874371859296</v>
      </c>
      <c r="I12" s="32">
        <f>H12*AD12</f>
        <v>0</v>
      </c>
      <c r="J12" s="32">
        <v>3</v>
      </c>
      <c r="K12" s="32">
        <f>J12*AD12</f>
        <v>0.4139788944723618</v>
      </c>
      <c r="L12" s="32">
        <v>220</v>
      </c>
      <c r="M12" s="32">
        <f>L12*AD12</f>
        <v>30.35845226130653</v>
      </c>
      <c r="O12" s="32">
        <f>N12*AD12</f>
        <v>0</v>
      </c>
      <c r="Q12" s="32">
        <f>P12*AD12</f>
        <v>0</v>
      </c>
      <c r="T12" s="32" t="s">
        <v>137</v>
      </c>
      <c r="AB12" s="60" t="s">
        <v>252</v>
      </c>
      <c r="AC12" s="32">
        <f>B12+D12+F12+H12+J12+L12+N12+P12</f>
        <v>459</v>
      </c>
      <c r="AD12" s="53">
        <f>(1373.03)/9950</f>
        <v>0.1379929648241206</v>
      </c>
      <c r="AE12" s="53">
        <f>AC12*AD12</f>
        <v>63.33877085427135</v>
      </c>
      <c r="AG12" s="32">
        <v>23</v>
      </c>
      <c r="AI12" s="32" t="s">
        <v>168</v>
      </c>
      <c r="AJ12" s="55">
        <f>SUM(K2:K995)</f>
        <v>60.64159044312489</v>
      </c>
      <c r="AL12" s="32" t="s">
        <v>117</v>
      </c>
      <c r="AM12" s="55">
        <f>AJ12/$AJ$5</f>
        <v>2.021386348104163</v>
      </c>
    </row>
    <row r="13" spans="1:39" ht="14.25">
      <c r="A13" s="56">
        <v>43354</v>
      </c>
      <c r="B13" s="1">
        <f>30*4</f>
        <v>120</v>
      </c>
      <c r="C13" s="32">
        <f>B13*AD13</f>
        <v>16.55915577889447</v>
      </c>
      <c r="D13" s="32">
        <f>26+83</f>
        <v>109</v>
      </c>
      <c r="E13" s="32">
        <f>D13*AD13</f>
        <v>15.041233165829146</v>
      </c>
      <c r="F13" s="32">
        <f>70+80</f>
        <v>150</v>
      </c>
      <c r="G13" s="32">
        <f>F13*AD13</f>
        <v>20.69894472361809</v>
      </c>
      <c r="I13" s="32">
        <f>H13*AD13</f>
        <v>0</v>
      </c>
      <c r="J13" s="32">
        <v>4</v>
      </c>
      <c r="K13" s="32">
        <f>J13*AD13</f>
        <v>0.5519718592964824</v>
      </c>
      <c r="L13" s="32">
        <v>220</v>
      </c>
      <c r="M13" s="32">
        <f>L13*AD13</f>
        <v>30.35845226130653</v>
      </c>
      <c r="O13" s="32">
        <f>N13*AD13</f>
        <v>0</v>
      </c>
      <c r="Q13" s="32">
        <f>P13*AD13</f>
        <v>0</v>
      </c>
      <c r="T13" s="32" t="s">
        <v>137</v>
      </c>
      <c r="AB13" s="60" t="s">
        <v>252</v>
      </c>
      <c r="AC13" s="32">
        <f>B13+D13+F13+H13+J13+L13+N13+P13</f>
        <v>603</v>
      </c>
      <c r="AD13" s="53">
        <f>(1373.03)/9950</f>
        <v>0.1379929648241206</v>
      </c>
      <c r="AE13" s="53">
        <f>AC13*AD13</f>
        <v>83.20975778894473</v>
      </c>
      <c r="AG13" s="32">
        <v>23</v>
      </c>
      <c r="AI13" s="32" t="s">
        <v>169</v>
      </c>
      <c r="AJ13" s="55">
        <f>SUM(I2:I995)</f>
        <v>53.029963636363796</v>
      </c>
      <c r="AL13" s="32" t="s">
        <v>115</v>
      </c>
      <c r="AM13" s="55">
        <f>AJ13/$AJ$5</f>
        <v>1.7676654545454598</v>
      </c>
    </row>
    <row r="14" spans="1:36" ht="14.25">
      <c r="A14" s="56">
        <v>43355</v>
      </c>
      <c r="C14" s="32">
        <f>B14*AD14</f>
        <v>0</v>
      </c>
      <c r="D14" s="32">
        <f>154</f>
        <v>154</v>
      </c>
      <c r="E14" s="32">
        <f>D14*AD14</f>
        <v>21.250916582914574</v>
      </c>
      <c r="F14" s="32">
        <f>80+60</f>
        <v>140</v>
      </c>
      <c r="G14" s="32">
        <f>F14*AD14</f>
        <v>19.319015075376885</v>
      </c>
      <c r="I14" s="32">
        <f>H14*AD14</f>
        <v>0</v>
      </c>
      <c r="J14" s="32">
        <v>5</v>
      </c>
      <c r="K14" s="32">
        <f>J14*AD14</f>
        <v>0.689964824120603</v>
      </c>
      <c r="L14" s="32">
        <v>250</v>
      </c>
      <c r="M14" s="32">
        <f>L14*AD14</f>
        <v>34.49824120603015</v>
      </c>
      <c r="O14" s="32">
        <f>N14*AD14</f>
        <v>0</v>
      </c>
      <c r="Q14" s="32">
        <f>P14*AD14</f>
        <v>0</v>
      </c>
      <c r="T14" s="32" t="s">
        <v>137</v>
      </c>
      <c r="AB14" s="60" t="s">
        <v>252</v>
      </c>
      <c r="AC14" s="32">
        <f>B14+D14+F14+H14+J14+L14+N14+P14</f>
        <v>549</v>
      </c>
      <c r="AD14" s="53">
        <f>(1373.03)/9950</f>
        <v>0.1379929648241206</v>
      </c>
      <c r="AE14" s="53">
        <f>AC14*AD14</f>
        <v>75.7581376884422</v>
      </c>
      <c r="AG14" s="32">
        <v>23</v>
      </c>
      <c r="AI14" s="32" t="s">
        <v>171</v>
      </c>
      <c r="AJ14" s="55">
        <f>SUM(O2:O995)</f>
        <v>0</v>
      </c>
    </row>
    <row r="15" spans="1:36" ht="14.25">
      <c r="A15" s="56">
        <v>43356</v>
      </c>
      <c r="C15" s="32">
        <f>B15*AD15</f>
        <v>0</v>
      </c>
      <c r="D15" s="32">
        <f>152+32</f>
        <v>184</v>
      </c>
      <c r="E15" s="32">
        <f>D15*AD15</f>
        <v>25.39070552763819</v>
      </c>
      <c r="F15" s="32">
        <f>80+70</f>
        <v>150</v>
      </c>
      <c r="G15" s="32">
        <f>F15*AD15</f>
        <v>20.69894472361809</v>
      </c>
      <c r="I15" s="32">
        <f>H15*AD15</f>
        <v>0</v>
      </c>
      <c r="J15" s="32">
        <v>3</v>
      </c>
      <c r="K15" s="32">
        <f>J15*AD15</f>
        <v>0.4139788944723618</v>
      </c>
      <c r="L15" s="32">
        <v>250</v>
      </c>
      <c r="M15" s="32">
        <f>L15*AD15</f>
        <v>34.49824120603015</v>
      </c>
      <c r="O15" s="32">
        <f>N15*AD15</f>
        <v>0</v>
      </c>
      <c r="Q15" s="32">
        <f>P15*AD15</f>
        <v>0</v>
      </c>
      <c r="T15" s="32" t="s">
        <v>137</v>
      </c>
      <c r="AB15" s="60" t="s">
        <v>252</v>
      </c>
      <c r="AC15" s="32">
        <f>B15+D15+F15+H15+J15+L15+N15+P15</f>
        <v>587</v>
      </c>
      <c r="AD15" s="53">
        <f>(1373.03)/9950</f>
        <v>0.1379929648241206</v>
      </c>
      <c r="AE15" s="53">
        <f>AC15*AD15</f>
        <v>81.0018703517588</v>
      </c>
      <c r="AG15" s="32">
        <v>23</v>
      </c>
      <c r="AI15" s="32" t="s">
        <v>173</v>
      </c>
      <c r="AJ15" s="32">
        <f>SUM(Q2:Q61)</f>
        <v>440.00000000000006</v>
      </c>
    </row>
    <row r="16" spans="1:35" ht="14.25">
      <c r="A16" s="56">
        <v>43357</v>
      </c>
      <c r="B16" s="32">
        <f>266</f>
        <v>266</v>
      </c>
      <c r="C16" s="32">
        <f>B16*AD16</f>
        <v>36.70612864321608</v>
      </c>
      <c r="D16" s="32">
        <f>44+82</f>
        <v>126</v>
      </c>
      <c r="E16" s="32">
        <f>D16*AD16</f>
        <v>17.387113567839197</v>
      </c>
      <c r="G16" s="32">
        <f>F16*AD16</f>
        <v>0</v>
      </c>
      <c r="I16" s="32">
        <f>H16*AD16</f>
        <v>0</v>
      </c>
      <c r="K16" s="32">
        <f>J16*AD16</f>
        <v>0</v>
      </c>
      <c r="L16" s="32">
        <v>305</v>
      </c>
      <c r="M16" s="32">
        <f>L16*AD16</f>
        <v>42.08785427135678</v>
      </c>
      <c r="O16" s="32">
        <f>N16*AD16</f>
        <v>0</v>
      </c>
      <c r="Q16" s="32">
        <f>P16*AD16</f>
        <v>0</v>
      </c>
      <c r="T16" s="32" t="s">
        <v>137</v>
      </c>
      <c r="AB16" s="60" t="s">
        <v>253</v>
      </c>
      <c r="AC16" s="32">
        <f>B16+D16+F16+H16+J16+L16+N16+P16</f>
        <v>697</v>
      </c>
      <c r="AD16" s="53">
        <f>(1373.03)/9950</f>
        <v>0.1379929648241206</v>
      </c>
      <c r="AE16" s="53">
        <f>AC16*AD16</f>
        <v>96.18109648241206</v>
      </c>
      <c r="AG16" s="32">
        <v>23</v>
      </c>
      <c r="AI16" s="59"/>
    </row>
    <row r="17" spans="1:44" ht="14.25">
      <c r="A17" s="56">
        <v>43358</v>
      </c>
      <c r="B17" s="32">
        <f>40</f>
        <v>40</v>
      </c>
      <c r="C17" s="32">
        <f>B17*AD17</f>
        <v>5.519718592964824</v>
      </c>
      <c r="E17" s="32">
        <f>D17*AD17</f>
        <v>0</v>
      </c>
      <c r="G17" s="32">
        <f>F17*AD17</f>
        <v>0</v>
      </c>
      <c r="I17" s="32">
        <f>H17*AD17</f>
        <v>0</v>
      </c>
      <c r="K17" s="32">
        <f>J17*AD17</f>
        <v>0</v>
      </c>
      <c r="M17" s="32">
        <f>L17*AD17</f>
        <v>0</v>
      </c>
      <c r="O17" s="32">
        <f>N17*AD17</f>
        <v>0</v>
      </c>
      <c r="Q17" s="32">
        <f>P17*AD17</f>
        <v>0</v>
      </c>
      <c r="AB17" s="60" t="s">
        <v>254</v>
      </c>
      <c r="AC17" s="32">
        <f>B17+D17+F17+H17+J17+L17+N17+P17</f>
        <v>40</v>
      </c>
      <c r="AD17" s="53">
        <f>(1373.03)/9950</f>
        <v>0.1379929648241206</v>
      </c>
      <c r="AE17" s="53">
        <f>AC17*AD17</f>
        <v>5.519718592964824</v>
      </c>
      <c r="AG17" s="32">
        <v>23</v>
      </c>
      <c r="AR17" s="54"/>
    </row>
    <row r="18" spans="1:44" ht="14.25">
      <c r="A18" s="56"/>
      <c r="B18" s="32">
        <f>10000*2</f>
        <v>20000</v>
      </c>
      <c r="C18" s="32">
        <f>B18*AD18</f>
        <v>58.922181818182</v>
      </c>
      <c r="D18" s="32">
        <f>1600</f>
        <v>1600</v>
      </c>
      <c r="E18" s="32">
        <f>D18*AD18</f>
        <v>4.71377454545456</v>
      </c>
      <c r="F18" s="32">
        <f>4000+5300</f>
        <v>9300</v>
      </c>
      <c r="G18" s="32">
        <f>F18*AD18</f>
        <v>27.398814545454627</v>
      </c>
      <c r="I18" s="32">
        <f>H18*AD18</f>
        <v>0</v>
      </c>
      <c r="K18" s="32">
        <f>J18*AD18</f>
        <v>0</v>
      </c>
      <c r="M18" s="32">
        <f>L18*AD18</f>
        <v>0</v>
      </c>
      <c r="O18" s="32">
        <f>N18*AD18</f>
        <v>0</v>
      </c>
      <c r="Q18" s="32">
        <f>P18*AD18</f>
        <v>0</v>
      </c>
      <c r="T18" s="32" t="s">
        <v>137</v>
      </c>
      <c r="AB18" s="60"/>
      <c r="AC18" s="32">
        <f>B18+D18+F18+H18+J18+L18+N18+P18</f>
        <v>30900</v>
      </c>
      <c r="AD18" s="53">
        <v>0.0029461090909091</v>
      </c>
      <c r="AE18" s="53">
        <f>AC18*AD18</f>
        <v>91.03477090909118</v>
      </c>
      <c r="AG18" s="32">
        <v>24</v>
      </c>
      <c r="AI18" s="32" t="s">
        <v>177</v>
      </c>
      <c r="AJ18" s="32">
        <f>SUM(AA2:AA51)</f>
        <v>4</v>
      </c>
      <c r="AR18" s="54"/>
    </row>
    <row r="19" spans="1:33" ht="14.25">
      <c r="A19" s="56">
        <v>43359</v>
      </c>
      <c r="B19" s="32">
        <f>8000+5500</f>
        <v>13500</v>
      </c>
      <c r="C19" s="32">
        <f>B19*AD19</f>
        <v>39.77247272727285</v>
      </c>
      <c r="D19" s="32">
        <f>450+2000</f>
        <v>2450</v>
      </c>
      <c r="E19" s="32">
        <f>D19*AD19</f>
        <v>7.217967272727295</v>
      </c>
      <c r="F19" s="32">
        <f>1800*2+1500*2</f>
        <v>6600</v>
      </c>
      <c r="G19" s="32">
        <f>F19*AD19</f>
        <v>19.444320000000058</v>
      </c>
      <c r="H19" s="32">
        <f>1000*2</f>
        <v>2000</v>
      </c>
      <c r="I19" s="32">
        <f>H19*AD19</f>
        <v>5.892218181818199</v>
      </c>
      <c r="J19" s="32">
        <v>100</v>
      </c>
      <c r="K19" s="32">
        <f>J19*AD19</f>
        <v>0.29461090909091</v>
      </c>
      <c r="M19" s="32">
        <f>L19*AD19</f>
        <v>0</v>
      </c>
      <c r="O19" s="32">
        <f>N19*AD19</f>
        <v>0</v>
      </c>
      <c r="Q19" s="32">
        <f>P19*AD19</f>
        <v>0</v>
      </c>
      <c r="T19" s="32" t="s">
        <v>137</v>
      </c>
      <c r="AB19" s="60" t="s">
        <v>255</v>
      </c>
      <c r="AC19" s="32">
        <f>B19+D19+F19+H19+J19+L19+N19+P19</f>
        <v>24650</v>
      </c>
      <c r="AD19" s="53">
        <v>0.0029461090909091</v>
      </c>
      <c r="AE19" s="53">
        <f>AC19*AD19</f>
        <v>72.62158909090931</v>
      </c>
      <c r="AG19" s="32">
        <v>24</v>
      </c>
    </row>
    <row r="20" spans="1:33" ht="14.25">
      <c r="A20" s="56">
        <v>43360</v>
      </c>
      <c r="C20" s="32">
        <f>B20*AD20</f>
        <v>0</v>
      </c>
      <c r="D20" s="32">
        <f>1100</f>
        <v>1100</v>
      </c>
      <c r="E20" s="32">
        <f>D20*AD20</f>
        <v>3.24072000000001</v>
      </c>
      <c r="F20" s="32">
        <f>5000+5300</f>
        <v>10300</v>
      </c>
      <c r="G20" s="32">
        <f>F20*AD20</f>
        <v>30.344923636363728</v>
      </c>
      <c r="I20" s="32">
        <f>H20*AD20</f>
        <v>0</v>
      </c>
      <c r="K20" s="32">
        <f>J20*AD20</f>
        <v>0</v>
      </c>
      <c r="M20" s="32">
        <f>L20*AD20</f>
        <v>0</v>
      </c>
      <c r="O20" s="32">
        <f>N20*AD20</f>
        <v>0</v>
      </c>
      <c r="Q20" s="32">
        <f>P20*AD20</f>
        <v>0</v>
      </c>
      <c r="T20" s="32" t="s">
        <v>137</v>
      </c>
      <c r="AB20" s="60" t="s">
        <v>255</v>
      </c>
      <c r="AC20" s="32">
        <f>B20+D20+F20+H20+J20+L20+N20+P20</f>
        <v>11400</v>
      </c>
      <c r="AD20" s="53">
        <v>0.0029461090909091</v>
      </c>
      <c r="AE20" s="53">
        <f>AC20*AD20</f>
        <v>33.58564363636374</v>
      </c>
      <c r="AG20" s="32">
        <v>24</v>
      </c>
    </row>
    <row r="21" spans="1:33" ht="14.25">
      <c r="A21" s="56">
        <v>43361</v>
      </c>
      <c r="B21" s="32">
        <v>3000</v>
      </c>
      <c r="C21" s="32">
        <f>B21*AD21</f>
        <v>8.8383272727273</v>
      </c>
      <c r="D21" s="32">
        <f>900+1800</f>
        <v>2700</v>
      </c>
      <c r="E21" s="32">
        <f>D21*AD21</f>
        <v>7.95449454545457</v>
      </c>
      <c r="F21" s="32">
        <f>4000+3000</f>
        <v>7000</v>
      </c>
      <c r="G21" s="32">
        <f>F21*AD21</f>
        <v>20.6227636363637</v>
      </c>
      <c r="I21" s="32">
        <f>H21*AD21</f>
        <v>0</v>
      </c>
      <c r="K21" s="32">
        <f>J21*AD21</f>
        <v>0</v>
      </c>
      <c r="L21" s="32">
        <v>11700</v>
      </c>
      <c r="M21" s="32">
        <f>L21*AD21</f>
        <v>34.46947636363647</v>
      </c>
      <c r="O21" s="32">
        <f>N21*AD21</f>
        <v>0</v>
      </c>
      <c r="Q21" s="32">
        <f>P21*AD21</f>
        <v>0</v>
      </c>
      <c r="T21" s="32" t="s">
        <v>137</v>
      </c>
      <c r="AB21" s="60" t="s">
        <v>256</v>
      </c>
      <c r="AC21" s="32">
        <f>B21+D21+F21+H21+J21+L21+N21+P21</f>
        <v>24400</v>
      </c>
      <c r="AD21" s="53">
        <v>0.0029461090909091</v>
      </c>
      <c r="AE21" s="53">
        <f>AC21*AD21</f>
        <v>71.88506181818204</v>
      </c>
      <c r="AG21" s="32">
        <v>24</v>
      </c>
    </row>
    <row r="22" spans="1:33" ht="14.25">
      <c r="A22" s="56">
        <v>43362</v>
      </c>
      <c r="B22" s="32">
        <f>750*2+1000*2</f>
        <v>3500</v>
      </c>
      <c r="C22" s="32">
        <f>B22*AD22</f>
        <v>10.31138181818185</v>
      </c>
      <c r="D22" s="32">
        <f>1000</f>
        <v>1000</v>
      </c>
      <c r="E22" s="32">
        <f>D22*AD22</f>
        <v>2.9461090909090997</v>
      </c>
      <c r="F22" s="32">
        <f>3300+3000</f>
        <v>6300</v>
      </c>
      <c r="G22" s="32">
        <f>F22*AD22</f>
        <v>18.56048727272733</v>
      </c>
      <c r="I22" s="32">
        <f>H22*AD22</f>
        <v>0</v>
      </c>
      <c r="J22" s="32">
        <v>2000</v>
      </c>
      <c r="K22" s="32">
        <f>J22*AD22</f>
        <v>5.892218181818199</v>
      </c>
      <c r="L22" s="32">
        <v>11700</v>
      </c>
      <c r="M22" s="32">
        <f>L22*AD22</f>
        <v>34.46947636363647</v>
      </c>
      <c r="O22" s="32">
        <f>N22*AD22</f>
        <v>0</v>
      </c>
      <c r="Q22" s="32">
        <f>P22*AD22</f>
        <v>0</v>
      </c>
      <c r="T22" s="32" t="s">
        <v>137</v>
      </c>
      <c r="AB22" s="60" t="s">
        <v>257</v>
      </c>
      <c r="AC22" s="32">
        <f>B22+D22+F22+H22+J22+L22+N22+P22</f>
        <v>24500</v>
      </c>
      <c r="AD22" s="53">
        <v>0.0029461090909091</v>
      </c>
      <c r="AE22" s="53">
        <f>AC22*AD22</f>
        <v>72.17967272727294</v>
      </c>
      <c r="AG22" s="32">
        <v>24</v>
      </c>
    </row>
    <row r="23" spans="1:33" ht="14.25">
      <c r="A23" s="56">
        <v>43363</v>
      </c>
      <c r="B23" s="32">
        <f>4250*2</f>
        <v>8500</v>
      </c>
      <c r="C23" s="32">
        <f>B23*AD23</f>
        <v>25.04192727272735</v>
      </c>
      <c r="D23" s="32">
        <f>2500+500</f>
        <v>3000</v>
      </c>
      <c r="E23" s="32">
        <f>D23*AD23</f>
        <v>8.8383272727273</v>
      </c>
      <c r="F23" s="32">
        <f>1800*2</f>
        <v>3600</v>
      </c>
      <c r="G23" s="32">
        <f>F23*AD23</f>
        <v>10.60599272727276</v>
      </c>
      <c r="I23" s="32">
        <f>H23*AD23</f>
        <v>0</v>
      </c>
      <c r="K23" s="32">
        <f>J23*AD23</f>
        <v>0</v>
      </c>
      <c r="L23" s="32">
        <v>17000</v>
      </c>
      <c r="M23" s="32">
        <f>L23*AD23</f>
        <v>50.0838545454547</v>
      </c>
      <c r="O23" s="32">
        <f>N23*AD23</f>
        <v>0</v>
      </c>
      <c r="Q23" s="32">
        <f>P23*AD23</f>
        <v>0</v>
      </c>
      <c r="T23" s="32" t="s">
        <v>137</v>
      </c>
      <c r="AB23" s="60" t="s">
        <v>258</v>
      </c>
      <c r="AC23" s="32">
        <f>B23+D23+F23+H23+J23+L23+N23+P23</f>
        <v>32100</v>
      </c>
      <c r="AD23" s="53">
        <v>0.0029461090909091</v>
      </c>
      <c r="AE23" s="53">
        <f>AC23*AD23</f>
        <v>94.57010181818211</v>
      </c>
      <c r="AG23" s="32">
        <v>24</v>
      </c>
    </row>
    <row r="24" spans="1:33" ht="14.25">
      <c r="A24" s="56">
        <v>43364</v>
      </c>
      <c r="B24" s="32">
        <f>200*2+18000*2</f>
        <v>36400</v>
      </c>
      <c r="C24" s="32">
        <f>B24*AD24</f>
        <v>107.23837090909123</v>
      </c>
      <c r="D24" s="32">
        <f>500</f>
        <v>500</v>
      </c>
      <c r="E24" s="32">
        <f>D24*AD24</f>
        <v>1.4730545454545498</v>
      </c>
      <c r="F24" s="32">
        <f>2000+4500</f>
        <v>6500</v>
      </c>
      <c r="G24" s="32">
        <f>F24*AD24</f>
        <v>19.14970909090915</v>
      </c>
      <c r="I24" s="32">
        <f>H24*AD24</f>
        <v>0</v>
      </c>
      <c r="K24" s="32">
        <f>J24*AD24</f>
        <v>0</v>
      </c>
      <c r="L24" s="32">
        <v>17000</v>
      </c>
      <c r="M24" s="32">
        <f>L24*AD24</f>
        <v>50.0838545454547</v>
      </c>
      <c r="O24" s="32">
        <f>N24*AD24</f>
        <v>0</v>
      </c>
      <c r="Q24" s="32">
        <f>P24*AD24</f>
        <v>0</v>
      </c>
      <c r="T24" s="32" t="s">
        <v>137</v>
      </c>
      <c r="AB24" s="60" t="s">
        <v>259</v>
      </c>
      <c r="AC24" s="32">
        <f>B24+D24+F24+H24+J24+L24+N24+P24</f>
        <v>60400</v>
      </c>
      <c r="AD24" s="53">
        <v>0.0029461090909091</v>
      </c>
      <c r="AE24" s="53">
        <f>AC24*AD24</f>
        <v>177.94498909090964</v>
      </c>
      <c r="AG24" s="32">
        <v>24</v>
      </c>
    </row>
    <row r="25" spans="1:33" ht="14.25">
      <c r="A25" s="56">
        <v>43365</v>
      </c>
      <c r="B25" s="32">
        <f>400</f>
        <v>400</v>
      </c>
      <c r="C25" s="32">
        <f>B25*AD25</f>
        <v>1.17844363636364</v>
      </c>
      <c r="D25" s="32">
        <f>2000</f>
        <v>2000</v>
      </c>
      <c r="E25" s="32">
        <f>D25*AD25</f>
        <v>5.892218181818199</v>
      </c>
      <c r="F25" s="32">
        <f>1500+2000</f>
        <v>3500</v>
      </c>
      <c r="G25" s="32">
        <f>F25*AD25</f>
        <v>10.31138181818185</v>
      </c>
      <c r="I25" s="32">
        <f>H25*AD25</f>
        <v>0</v>
      </c>
      <c r="K25" s="32">
        <f>J25*AD25</f>
        <v>0</v>
      </c>
      <c r="M25" s="32">
        <f>L25*AD25</f>
        <v>0</v>
      </c>
      <c r="O25" s="32">
        <f>N25*AD25</f>
        <v>0</v>
      </c>
      <c r="Q25" s="32">
        <f>P25*AD25</f>
        <v>0</v>
      </c>
      <c r="Z25" s="32" t="s">
        <v>137</v>
      </c>
      <c r="AB25" s="60" t="s">
        <v>260</v>
      </c>
      <c r="AC25" s="32">
        <f>B25+D25+F25+H25+J25+L25+N25+P25</f>
        <v>5900</v>
      </c>
      <c r="AD25" s="53">
        <v>0.0029461090909091</v>
      </c>
      <c r="AE25" s="53">
        <f>AC25*AD25</f>
        <v>17.38204363636369</v>
      </c>
      <c r="AG25" s="32">
        <v>24</v>
      </c>
    </row>
    <row r="26" spans="1:33" ht="14.25">
      <c r="A26" s="56">
        <v>43366</v>
      </c>
      <c r="C26" s="32">
        <f>B26*AD26</f>
        <v>0</v>
      </c>
      <c r="D26" s="32">
        <f>1000+500</f>
        <v>1500</v>
      </c>
      <c r="E26" s="32">
        <f>D26*AD26</f>
        <v>4.41916363636365</v>
      </c>
      <c r="F26" s="32">
        <f>2000+6000</f>
        <v>8000</v>
      </c>
      <c r="G26" s="32">
        <f>F26*AD26</f>
        <v>23.568872727272797</v>
      </c>
      <c r="I26" s="32">
        <f>H26*AD26</f>
        <v>0</v>
      </c>
      <c r="J26" s="32">
        <v>3000</v>
      </c>
      <c r="K26" s="32">
        <f>J26*AD26</f>
        <v>8.8383272727273</v>
      </c>
      <c r="L26" s="32">
        <v>20500</v>
      </c>
      <c r="M26" s="32">
        <f>L26*AD26</f>
        <v>60.39523636363655</v>
      </c>
      <c r="O26" s="32">
        <f>N26*AD26</f>
        <v>0</v>
      </c>
      <c r="Q26" s="32">
        <f>P26*AD26</f>
        <v>0</v>
      </c>
      <c r="T26" s="32" t="s">
        <v>137</v>
      </c>
      <c r="AB26" s="60" t="s">
        <v>261</v>
      </c>
      <c r="AC26" s="32">
        <f>B26+D26+F26+H26+J26+L26+N26+P26</f>
        <v>33000</v>
      </c>
      <c r="AD26" s="53">
        <v>0.0029461090909091</v>
      </c>
      <c r="AE26" s="53">
        <f>AC26*AD26</f>
        <v>97.2216000000003</v>
      </c>
      <c r="AG26" s="32">
        <v>24</v>
      </c>
    </row>
    <row r="27" spans="1:33" ht="14.25">
      <c r="A27" s="56">
        <v>43367</v>
      </c>
      <c r="C27" s="32">
        <f>B27*AD27</f>
        <v>0</v>
      </c>
      <c r="D27" s="32">
        <v>400</v>
      </c>
      <c r="E27" s="32">
        <f>D27*AD27</f>
        <v>1.17844363636364</v>
      </c>
      <c r="F27" s="32">
        <f>3800+1600</f>
        <v>5400</v>
      </c>
      <c r="G27" s="32">
        <f>F27*AD27</f>
        <v>15.90898909090914</v>
      </c>
      <c r="I27" s="32">
        <f>H27*AD27</f>
        <v>0</v>
      </c>
      <c r="J27" s="32">
        <v>2000</v>
      </c>
      <c r="K27" s="32">
        <f>J27*AD27</f>
        <v>5.892218181818199</v>
      </c>
      <c r="L27" s="32">
        <v>20500</v>
      </c>
      <c r="M27" s="32">
        <f>L27*AD27</f>
        <v>60.39523636363655</v>
      </c>
      <c r="O27" s="32">
        <f>N27*AD27</f>
        <v>0</v>
      </c>
      <c r="Q27" s="32">
        <f>P27*AD27</f>
        <v>0</v>
      </c>
      <c r="T27" s="32" t="s">
        <v>137</v>
      </c>
      <c r="AA27" s="32">
        <v>2</v>
      </c>
      <c r="AB27" s="32" t="s">
        <v>261</v>
      </c>
      <c r="AC27" s="32">
        <f>B27+D27+F27+H27+J27+L27+N27+P27</f>
        <v>28300</v>
      </c>
      <c r="AD27" s="53">
        <v>0.0029461090909091</v>
      </c>
      <c r="AE27" s="53">
        <f>AC27*AD27</f>
        <v>83.37488727272752</v>
      </c>
      <c r="AG27" s="32">
        <v>24</v>
      </c>
    </row>
    <row r="28" spans="1:33" ht="14.25">
      <c r="A28" s="56">
        <v>43368</v>
      </c>
      <c r="C28" s="32">
        <f>B28*AD28</f>
        <v>0</v>
      </c>
      <c r="D28" s="32">
        <f>1000+600</f>
        <v>1600</v>
      </c>
      <c r="E28" s="32">
        <f>D28*AD28</f>
        <v>4.71377454545456</v>
      </c>
      <c r="F28" s="32">
        <v>4500</v>
      </c>
      <c r="G28" s="32">
        <f>F28*AD28</f>
        <v>13.257490909090949</v>
      </c>
      <c r="I28" s="32">
        <f>H28*AD28</f>
        <v>0</v>
      </c>
      <c r="K28" s="32">
        <f>J28*AD28</f>
        <v>0</v>
      </c>
      <c r="L28" s="32">
        <v>20500</v>
      </c>
      <c r="M28" s="32">
        <f>L28*AD28</f>
        <v>60.39523636363655</v>
      </c>
      <c r="O28" s="32">
        <f>N28*AD28</f>
        <v>0</v>
      </c>
      <c r="Q28" s="32">
        <f>P28*AD28</f>
        <v>0</v>
      </c>
      <c r="T28" s="32" t="s">
        <v>137</v>
      </c>
      <c r="AB28" s="32" t="s">
        <v>261</v>
      </c>
      <c r="AC28" s="32">
        <f>B28+D28+F28+H28+J28+L28+N28+P28</f>
        <v>26600</v>
      </c>
      <c r="AD28" s="53">
        <v>0.0029461090909091</v>
      </c>
      <c r="AE28" s="53">
        <f>AC28*AD28</f>
        <v>78.36650181818206</v>
      </c>
      <c r="AG28" s="32">
        <v>24</v>
      </c>
    </row>
    <row r="29" spans="1:33" ht="14.25">
      <c r="A29" s="56">
        <v>43369</v>
      </c>
      <c r="C29" s="32">
        <f>B29*AD29</f>
        <v>0</v>
      </c>
      <c r="D29" s="32">
        <v>1500</v>
      </c>
      <c r="E29" s="32">
        <f>D29*AD29</f>
        <v>4.41916363636365</v>
      </c>
      <c r="F29" s="32">
        <v>1000</v>
      </c>
      <c r="G29" s="32">
        <f>F29*AD29</f>
        <v>2.9461090909090997</v>
      </c>
      <c r="I29" s="32">
        <f>H29*AD29</f>
        <v>0</v>
      </c>
      <c r="J29" s="32">
        <v>2500</v>
      </c>
      <c r="K29" s="32">
        <f>J29*AD29</f>
        <v>7.36527272727275</v>
      </c>
      <c r="L29" s="32">
        <v>20000</v>
      </c>
      <c r="M29" s="32">
        <f>L29*AD29</f>
        <v>58.922181818182</v>
      </c>
      <c r="O29" s="32">
        <f>N29*AD29</f>
        <v>0</v>
      </c>
      <c r="Q29" s="32">
        <f>P29*AD29</f>
        <v>0</v>
      </c>
      <c r="T29" s="32" t="s">
        <v>137</v>
      </c>
      <c r="AB29" s="32" t="s">
        <v>262</v>
      </c>
      <c r="AC29" s="32">
        <f>B29+D29+F29+H29+J29+L29+N29+P29</f>
        <v>25000</v>
      </c>
      <c r="AD29" s="53">
        <v>0.0029461090909091</v>
      </c>
      <c r="AE29" s="53">
        <f>AC29*AD29</f>
        <v>73.65272727272749</v>
      </c>
      <c r="AG29" s="32">
        <v>24</v>
      </c>
    </row>
    <row r="30" spans="1:33" ht="14.25">
      <c r="A30" s="56">
        <v>43370</v>
      </c>
      <c r="C30" s="32">
        <f>B30*AD30</f>
        <v>0</v>
      </c>
      <c r="D30" s="32">
        <v>1000</v>
      </c>
      <c r="E30" s="32">
        <f>D30*AD30</f>
        <v>2.9461090909090997</v>
      </c>
      <c r="F30" s="32">
        <v>2000</v>
      </c>
      <c r="G30" s="32">
        <f>F30*AD30</f>
        <v>5.892218181818199</v>
      </c>
      <c r="I30" s="32">
        <f>H30*AD30</f>
        <v>0</v>
      </c>
      <c r="J30" s="32">
        <f>5000+2500</f>
        <v>7500</v>
      </c>
      <c r="K30" s="32">
        <f>J30*AD30</f>
        <v>22.09581818181825</v>
      </c>
      <c r="L30" s="32">
        <v>16000</v>
      </c>
      <c r="M30" s="32">
        <f>L30*AD30</f>
        <v>47.137745454545595</v>
      </c>
      <c r="O30" s="32">
        <f>N30*AD30</f>
        <v>0</v>
      </c>
      <c r="Q30" s="32">
        <f>P30*AD30</f>
        <v>0</v>
      </c>
      <c r="T30" s="32" t="s">
        <v>137</v>
      </c>
      <c r="AB30" s="32" t="s">
        <v>262</v>
      </c>
      <c r="AC30" s="32">
        <f>B30+D30+F30+H30+J30+L30+N30+P30</f>
        <v>26500</v>
      </c>
      <c r="AD30" s="53">
        <v>0.0029461090909091</v>
      </c>
      <c r="AE30" s="53">
        <f>AC30*AD30</f>
        <v>78.07189090909115</v>
      </c>
      <c r="AG30" s="32">
        <v>24</v>
      </c>
    </row>
    <row r="31" spans="1:33" ht="14.25">
      <c r="A31" s="56">
        <v>43371</v>
      </c>
      <c r="B31" s="32">
        <v>10000</v>
      </c>
      <c r="C31" s="32">
        <f>B31*AD31</f>
        <v>29.461090909091</v>
      </c>
      <c r="D31" s="32">
        <v>1400</v>
      </c>
      <c r="E31" s="32">
        <f>D31*AD31</f>
        <v>4.124552727272739</v>
      </c>
      <c r="F31" s="32">
        <f>6800+3000</f>
        <v>9800</v>
      </c>
      <c r="G31" s="32">
        <f>F31*AD31</f>
        <v>28.87186909090918</v>
      </c>
      <c r="I31" s="32">
        <f>H31*AD31</f>
        <v>0</v>
      </c>
      <c r="K31" s="32">
        <f>J31*AD31</f>
        <v>0</v>
      </c>
      <c r="L31" s="32">
        <v>16000</v>
      </c>
      <c r="M31" s="32">
        <f>L31*AD31</f>
        <v>47.137745454545595</v>
      </c>
      <c r="O31" s="32">
        <f>N31*AD31</f>
        <v>0</v>
      </c>
      <c r="Q31" s="32">
        <f>P31*AD31</f>
        <v>0</v>
      </c>
      <c r="T31" s="32" t="s">
        <v>137</v>
      </c>
      <c r="AA31" s="32">
        <v>1</v>
      </c>
      <c r="AB31" s="32" t="s">
        <v>263</v>
      </c>
      <c r="AC31" s="32">
        <f>B31+D31+F31+H31+J31+L31+N31+P31</f>
        <v>37200</v>
      </c>
      <c r="AD31" s="53">
        <v>0.0029461090909091</v>
      </c>
      <c r="AE31" s="53">
        <f>AC31*AD31</f>
        <v>109.59525818181851</v>
      </c>
      <c r="AG31" s="32">
        <v>24</v>
      </c>
    </row>
    <row r="32" spans="1:33" ht="14.25">
      <c r="A32" s="56">
        <v>43372</v>
      </c>
      <c r="C32" s="32">
        <f>B32*AD32</f>
        <v>0</v>
      </c>
      <c r="D32" s="32">
        <v>4300</v>
      </c>
      <c r="E32" s="32">
        <f>D32*AD32</f>
        <v>12.66826909090913</v>
      </c>
      <c r="F32" s="32">
        <f>8000+9600</f>
        <v>17600</v>
      </c>
      <c r="G32" s="32">
        <f>F32*AD32</f>
        <v>51.85152000000016</v>
      </c>
      <c r="H32" s="32">
        <v>10000</v>
      </c>
      <c r="I32" s="32">
        <f>H32*AD32</f>
        <v>29.461090909091</v>
      </c>
      <c r="K32" s="32">
        <f>J32*AD32</f>
        <v>0</v>
      </c>
      <c r="L32" s="32">
        <v>16000</v>
      </c>
      <c r="M32" s="32">
        <f>L32*AD32</f>
        <v>47.137745454545595</v>
      </c>
      <c r="O32" s="32">
        <f>N32*AD32</f>
        <v>0</v>
      </c>
      <c r="Q32" s="32">
        <f>P32*AD32</f>
        <v>0</v>
      </c>
      <c r="T32" s="32" t="s">
        <v>137</v>
      </c>
      <c r="AB32" s="32" t="s">
        <v>263</v>
      </c>
      <c r="AC32" s="32">
        <f>B32+D32+F32+H32+J32+L32+N32+P32</f>
        <v>47900</v>
      </c>
      <c r="AD32" s="53">
        <v>0.0029461090909091</v>
      </c>
      <c r="AE32" s="53">
        <f>AC32*AD32</f>
        <v>141.11862545454588</v>
      </c>
      <c r="AG32" s="32">
        <v>24</v>
      </c>
    </row>
    <row r="33" spans="1:33" ht="14.25">
      <c r="A33" s="56">
        <v>43373</v>
      </c>
      <c r="B33" s="32">
        <f>12000*2</f>
        <v>24000</v>
      </c>
      <c r="C33" s="32">
        <f>B33*AD33</f>
        <v>70.7066181818184</v>
      </c>
      <c r="E33" s="32">
        <f>D33*AD33</f>
        <v>0</v>
      </c>
      <c r="F33" s="32">
        <v>6000</v>
      </c>
      <c r="G33" s="32">
        <f>F33*AD33</f>
        <v>17.6766545454546</v>
      </c>
      <c r="H33" s="32">
        <v>6000</v>
      </c>
      <c r="I33" s="32">
        <f>H33*AD33</f>
        <v>17.6766545454546</v>
      </c>
      <c r="J33" s="32">
        <v>2500</v>
      </c>
      <c r="K33" s="32">
        <f>J33*AD33</f>
        <v>7.36527272727275</v>
      </c>
      <c r="L33" s="32">
        <v>20500</v>
      </c>
      <c r="M33" s="32">
        <f>L33*AD33</f>
        <v>60.39523636363655</v>
      </c>
      <c r="O33" s="32">
        <f>N33*AD33</f>
        <v>0</v>
      </c>
      <c r="Q33" s="32">
        <f>P33*AD33</f>
        <v>0</v>
      </c>
      <c r="T33" s="32" t="s">
        <v>137</v>
      </c>
      <c r="AA33" s="32">
        <v>1</v>
      </c>
      <c r="AB33" s="32" t="s">
        <v>264</v>
      </c>
      <c r="AC33" s="32">
        <f>B33+D33+F33+H33+J33+L33+N33+P33</f>
        <v>59000</v>
      </c>
      <c r="AD33" s="53">
        <v>0.0029461090909091</v>
      </c>
      <c r="AE33" s="53">
        <f>AC33*AD33</f>
        <v>173.8204363636369</v>
      </c>
      <c r="AG33" s="32">
        <v>24</v>
      </c>
    </row>
    <row r="34" spans="1:33" ht="14.2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v>0.0029461090909091</v>
      </c>
      <c r="AE34" s="53">
        <f>AC34*AD34</f>
        <v>0</v>
      </c>
      <c r="AG34" s="32">
        <v>24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(1169.32+74.6)/9950</f>
        <v>0.12501708542713566</v>
      </c>
      <c r="AE35" s="53">
        <f>AC35*AD35</f>
        <v>0</v>
      </c>
      <c r="AG35" s="32">
        <v>22</v>
      </c>
    </row>
    <row r="36" spans="3:33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53">
        <f>(1169.32+74.6)/9950</f>
        <v>0.12501708542713566</v>
      </c>
      <c r="AE36" s="53">
        <f>AC36*AD36</f>
        <v>0</v>
      </c>
      <c r="AG36" s="32">
        <v>22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Q61" s="32">
        <f>P61*AD61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Q62" s="32">
        <f>P62*AD62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Q63" s="32">
        <f>P63*AD63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Q64" s="32">
        <f>P64*AD64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K1">
      <selection activeCell="AL19" sqref="AL19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37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43374</v>
      </c>
      <c r="B2" s="32">
        <v>6000</v>
      </c>
      <c r="C2" s="32">
        <f>B2*AD2</f>
        <v>17.6766545454546</v>
      </c>
      <c r="D2" s="32">
        <f>1200+1500</f>
        <v>2700</v>
      </c>
      <c r="E2" s="32">
        <f>D2*AD2</f>
        <v>7.95449454545457</v>
      </c>
      <c r="F2" s="32">
        <f>2500+4000</f>
        <v>6500</v>
      </c>
      <c r="G2" s="32">
        <f>F2*AD2</f>
        <v>19.14970909090915</v>
      </c>
      <c r="H2" s="32">
        <f>25000*2</f>
        <v>50000</v>
      </c>
      <c r="I2" s="32">
        <f>H2*AD2</f>
        <v>147.30545454545498</v>
      </c>
      <c r="K2" s="32">
        <f>J2*AD2</f>
        <v>0</v>
      </c>
      <c r="L2" s="32">
        <v>24000</v>
      </c>
      <c r="M2" s="32">
        <f>L2*AD2</f>
        <v>70.7066181818184</v>
      </c>
      <c r="O2" s="32">
        <f>N2*AD2</f>
        <v>0</v>
      </c>
      <c r="Q2" s="32">
        <f>P2*AD2</f>
        <v>0</v>
      </c>
      <c r="T2" s="32" t="s">
        <v>137</v>
      </c>
      <c r="AB2" s="32" t="s">
        <v>265</v>
      </c>
      <c r="AC2" s="32">
        <f>B2+D2+F2+H2+J2+L2+N2+P2</f>
        <v>89200</v>
      </c>
      <c r="AD2" s="53">
        <v>0.0029461090909091</v>
      </c>
      <c r="AE2" s="53">
        <f>AC2*AD2</f>
        <v>262.7929309090917</v>
      </c>
      <c r="AG2" s="32">
        <v>24</v>
      </c>
      <c r="AI2" s="32" t="s">
        <v>139</v>
      </c>
      <c r="AJ2" s="55">
        <f>SUM($AE$2:$AE$995)</f>
        <v>2839.922507099136</v>
      </c>
      <c r="AL2" s="32" t="s">
        <v>140</v>
      </c>
      <c r="AM2" s="57">
        <f>$AJ$2/$AJ$5</f>
        <v>91.61040345481084</v>
      </c>
      <c r="AO2" s="32" t="s">
        <v>141</v>
      </c>
      <c r="AP2" s="32">
        <f>COUNTBLANK(L2:L41)-COUNTBLANK(A2:A41)</f>
        <v>8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43375</v>
      </c>
      <c r="B3" s="32">
        <v>4000</v>
      </c>
      <c r="C3" s="32">
        <f>B3*AD3</f>
        <v>11.784436363636399</v>
      </c>
      <c r="D3" s="32">
        <f>500+700+4100+900</f>
        <v>6200</v>
      </c>
      <c r="E3" s="32">
        <f>D3*AD3</f>
        <v>18.26587636363642</v>
      </c>
      <c r="F3" s="32">
        <f>2000+4000</f>
        <v>6000</v>
      </c>
      <c r="G3" s="32">
        <f>F3*AD3</f>
        <v>17.6766545454546</v>
      </c>
      <c r="I3" s="32">
        <f>H3*AD3</f>
        <v>0</v>
      </c>
      <c r="J3" s="32">
        <v>2000</v>
      </c>
      <c r="K3" s="32">
        <f>J3*AD3</f>
        <v>5.892218181818199</v>
      </c>
      <c r="L3" s="32">
        <v>24000</v>
      </c>
      <c r="M3" s="32">
        <f>L3*AD3</f>
        <v>70.7066181818184</v>
      </c>
      <c r="O3" s="32">
        <f>N3*AD3</f>
        <v>0</v>
      </c>
      <c r="Q3" s="32">
        <f>P3*AD3</f>
        <v>0</v>
      </c>
      <c r="T3" s="32" t="s">
        <v>137</v>
      </c>
      <c r="AB3" s="32" t="s">
        <v>265</v>
      </c>
      <c r="AC3" s="32">
        <f>B3+D3+F3+H3+J3+L3+N3+P3</f>
        <v>42200</v>
      </c>
      <c r="AD3" s="53">
        <v>0.0029461090909091</v>
      </c>
      <c r="AE3" s="53">
        <f>AC3*AD3</f>
        <v>124.32580363636401</v>
      </c>
      <c r="AG3" s="32">
        <v>24</v>
      </c>
      <c r="AI3" s="59"/>
      <c r="AL3" s="59"/>
      <c r="AM3" s="57"/>
      <c r="AO3" s="32" t="s">
        <v>145</v>
      </c>
      <c r="AP3" s="32">
        <f>COUNT(L2:L37)</f>
        <v>23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43376</v>
      </c>
      <c r="B4" s="32">
        <f>3000+9000*2</f>
        <v>21000</v>
      </c>
      <c r="C4" s="32">
        <f>B4*AD4</f>
        <v>61.868290909091094</v>
      </c>
      <c r="E4" s="32">
        <f>D4*AD4</f>
        <v>0</v>
      </c>
      <c r="F4" s="32">
        <f>8000</f>
        <v>8000</v>
      </c>
      <c r="G4" s="32">
        <f>F4*AD4</f>
        <v>23.568872727272797</v>
      </c>
      <c r="I4" s="32">
        <f>H4*AD4</f>
        <v>0</v>
      </c>
      <c r="K4" s="32">
        <f>J4*AD4</f>
        <v>0</v>
      </c>
      <c r="L4" s="32">
        <v>24000</v>
      </c>
      <c r="M4" s="32">
        <f>L4*AD4</f>
        <v>70.7066181818184</v>
      </c>
      <c r="O4" s="32">
        <f>N4*AD4</f>
        <v>0</v>
      </c>
      <c r="Q4" s="32">
        <f>P4*AD4</f>
        <v>0</v>
      </c>
      <c r="T4" s="32" t="s">
        <v>137</v>
      </c>
      <c r="AB4" s="32" t="s">
        <v>265</v>
      </c>
      <c r="AC4" s="32">
        <f>B4+D4+F4+H4+J4+L4+N4+P4</f>
        <v>53000</v>
      </c>
      <c r="AD4" s="53">
        <v>0.0029461090909091</v>
      </c>
      <c r="AE4" s="53">
        <f>AC4*AD4</f>
        <v>156.1437818181823</v>
      </c>
      <c r="AG4" s="32">
        <v>24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43377</v>
      </c>
      <c r="C5" s="32">
        <f>B5*AD5</f>
        <v>0</v>
      </c>
      <c r="D5" s="4">
        <f>1400+600</f>
        <v>2000</v>
      </c>
      <c r="E5" s="32">
        <f>D5*AD5</f>
        <v>5.892218181818199</v>
      </c>
      <c r="F5" s="32">
        <f>1400+2000</f>
        <v>3400</v>
      </c>
      <c r="G5" s="32">
        <f>F5*AD5</f>
        <v>10.016770909090939</v>
      </c>
      <c r="I5" s="32">
        <f>H5*AD5</f>
        <v>0</v>
      </c>
      <c r="K5" s="32">
        <f>J5*AD5</f>
        <v>0</v>
      </c>
      <c r="L5" s="32">
        <v>15800</v>
      </c>
      <c r="M5" s="32">
        <f>L5*AD5</f>
        <v>46.548523636363775</v>
      </c>
      <c r="O5" s="32">
        <f>N5*AD5</f>
        <v>0</v>
      </c>
      <c r="Q5" s="32">
        <f>P5*AD5</f>
        <v>0</v>
      </c>
      <c r="T5" s="32" t="s">
        <v>137</v>
      </c>
      <c r="AB5" s="32" t="s">
        <v>266</v>
      </c>
      <c r="AC5" s="32">
        <f>B5+D5+F5+H5+J5+L5+N5+P5</f>
        <v>21200</v>
      </c>
      <c r="AD5" s="53">
        <v>0.0029461090909091</v>
      </c>
      <c r="AE5" s="53">
        <f>AC5*AD5</f>
        <v>62.45751272727291</v>
      </c>
      <c r="AG5" s="32">
        <v>24</v>
      </c>
      <c r="AI5" s="32" t="s">
        <v>153</v>
      </c>
      <c r="AJ5" s="32">
        <f>COUNTA(A2:A350)</f>
        <v>31</v>
      </c>
      <c r="AO5" s="32" t="s">
        <v>154</v>
      </c>
      <c r="AP5" s="32">
        <f>COUNTA(R2:R50)</f>
        <v>0</v>
      </c>
    </row>
    <row r="6" spans="1:42" ht="14.25">
      <c r="A6" s="56">
        <v>43378</v>
      </c>
      <c r="C6" s="32">
        <f>B6*AD6</f>
        <v>0</v>
      </c>
      <c r="D6" s="4">
        <f>2000+300</f>
        <v>2300</v>
      </c>
      <c r="E6" s="32">
        <f>D6*AD6</f>
        <v>6.776050909090929</v>
      </c>
      <c r="F6" s="32">
        <f>2700+4200</f>
        <v>6900</v>
      </c>
      <c r="G6" s="32">
        <f>F6*AD6</f>
        <v>20.328152727272787</v>
      </c>
      <c r="H6" s="32">
        <f>2*10000</f>
        <v>20000</v>
      </c>
      <c r="I6" s="32">
        <f>H6*AD6</f>
        <v>58.922181818182</v>
      </c>
      <c r="K6" s="32">
        <f>J6*AD6</f>
        <v>0</v>
      </c>
      <c r="M6" s="32">
        <f>L6*AD6</f>
        <v>0</v>
      </c>
      <c r="O6" s="32">
        <f>N6*AD6</f>
        <v>0</v>
      </c>
      <c r="Q6" s="32">
        <f>P6*AD6</f>
        <v>0</v>
      </c>
      <c r="T6" s="32" t="s">
        <v>137</v>
      </c>
      <c r="AB6" s="32" t="s">
        <v>267</v>
      </c>
      <c r="AC6" s="32">
        <f>B6+D6+F6+H6+J6+L6+N6+P6</f>
        <v>29200</v>
      </c>
      <c r="AD6" s="53">
        <v>0.0029461090909091</v>
      </c>
      <c r="AE6" s="53">
        <f>AC6*AD6</f>
        <v>86.02638545454572</v>
      </c>
      <c r="AG6" s="32">
        <v>24</v>
      </c>
      <c r="AI6" s="59"/>
      <c r="AO6" s="32" t="s">
        <v>156</v>
      </c>
      <c r="AP6" s="32">
        <f>COUNTA(T2:T50)</f>
        <v>29</v>
      </c>
    </row>
    <row r="7" spans="1:42" ht="14.25">
      <c r="A7" s="56">
        <v>43379</v>
      </c>
      <c r="B7" s="32">
        <f>14000+1000</f>
        <v>15000</v>
      </c>
      <c r="C7" s="32">
        <f>B7*AD7</f>
        <v>44.1916363636365</v>
      </c>
      <c r="D7" s="32">
        <f>11300+500</f>
        <v>11800</v>
      </c>
      <c r="E7" s="32">
        <f>D7*AD7</f>
        <v>34.76408727272738</v>
      </c>
      <c r="F7" s="32">
        <v>4000</v>
      </c>
      <c r="G7" s="32">
        <f>F7*AD7</f>
        <v>11.784436363636399</v>
      </c>
      <c r="H7" s="32">
        <v>300</v>
      </c>
      <c r="I7" s="32">
        <f>H7*AD7</f>
        <v>0.88383272727273</v>
      </c>
      <c r="J7" s="32">
        <v>500</v>
      </c>
      <c r="K7" s="32">
        <f>J7*AD7</f>
        <v>1.4730545454545498</v>
      </c>
      <c r="M7" s="32">
        <f>L7*AD7</f>
        <v>0</v>
      </c>
      <c r="O7" s="32">
        <f>N7*AD7</f>
        <v>0</v>
      </c>
      <c r="Q7" s="32">
        <f>P7*AD7</f>
        <v>0</v>
      </c>
      <c r="T7" s="32" t="s">
        <v>137</v>
      </c>
      <c r="AB7" s="32" t="s">
        <v>267</v>
      </c>
      <c r="AC7" s="32">
        <f>B7+D7+F7+H7+J7+L7+N7+P7</f>
        <v>31600</v>
      </c>
      <c r="AD7" s="53">
        <v>0.0029461090909091</v>
      </c>
      <c r="AE7" s="53">
        <f>AC7*AD7</f>
        <v>93.09704727272755</v>
      </c>
      <c r="AG7" s="32">
        <v>24</v>
      </c>
      <c r="AL7" s="32" t="s">
        <v>158</v>
      </c>
      <c r="AO7" s="32" t="s">
        <v>126</v>
      </c>
      <c r="AP7" s="32">
        <f>COUNTA(U2:U50)</f>
        <v>0</v>
      </c>
    </row>
    <row r="8" spans="1:42" ht="14.25">
      <c r="A8" s="56">
        <v>43380</v>
      </c>
      <c r="B8" s="32">
        <f>16000+1000</f>
        <v>17000</v>
      </c>
      <c r="C8" s="32">
        <f>B8*AD8</f>
        <v>50.0838545454547</v>
      </c>
      <c r="D8" s="32">
        <v>6050</v>
      </c>
      <c r="E8" s="32">
        <f>D8*AD8</f>
        <v>17.823960000000053</v>
      </c>
      <c r="F8" s="32">
        <v>3200</v>
      </c>
      <c r="G8" s="32">
        <f>F8*AD8</f>
        <v>9.42754909090912</v>
      </c>
      <c r="I8" s="32">
        <f>H8*AD8</f>
        <v>0</v>
      </c>
      <c r="J8" s="32">
        <v>600</v>
      </c>
      <c r="K8" s="32">
        <f>J8*AD8</f>
        <v>1.76766545454546</v>
      </c>
      <c r="M8" s="32">
        <f>L8*AD8</f>
        <v>0</v>
      </c>
      <c r="O8" s="32">
        <f>N8*AD8</f>
        <v>0</v>
      </c>
      <c r="Q8" s="32">
        <f>P8*AD8</f>
        <v>0</v>
      </c>
      <c r="T8" s="32" t="s">
        <v>137</v>
      </c>
      <c r="AB8" s="32" t="s">
        <v>267</v>
      </c>
      <c r="AC8" s="32">
        <f>B8+D8+F8+H8+J8+L8+N8+P8</f>
        <v>26850</v>
      </c>
      <c r="AD8" s="53">
        <v>0.0029461090909091</v>
      </c>
      <c r="AE8" s="53">
        <f>AC8*AD8</f>
        <v>79.10302909090933</v>
      </c>
      <c r="AG8" s="32">
        <v>24</v>
      </c>
      <c r="AI8" s="32" t="s">
        <v>160</v>
      </c>
      <c r="AJ8" s="55">
        <f>SUM(M2:M995)</f>
        <v>1017.6201305801742</v>
      </c>
      <c r="AL8" s="32" t="s">
        <v>119</v>
      </c>
      <c r="AM8" s="55">
        <f>AJ8/$AJ$5</f>
        <v>32.82645582516691</v>
      </c>
      <c r="AO8" s="32" t="s">
        <v>161</v>
      </c>
      <c r="AP8" s="32">
        <f>COUNTA(S2:S50)</f>
        <v>0</v>
      </c>
    </row>
    <row r="9" spans="1:42" ht="14.25">
      <c r="A9" s="56">
        <v>43381</v>
      </c>
      <c r="B9" s="1">
        <f>9300*2</f>
        <v>18600</v>
      </c>
      <c r="C9" s="32">
        <f>B9*AD9</f>
        <v>54.797629090909254</v>
      </c>
      <c r="E9" s="32">
        <f>D9*AD9</f>
        <v>0</v>
      </c>
      <c r="F9" s="32">
        <f>4400+14000</f>
        <v>18400</v>
      </c>
      <c r="G9" s="32">
        <f>F9*AD9</f>
        <v>54.208407272727435</v>
      </c>
      <c r="I9" s="32">
        <f>H9*AD9</f>
        <v>0</v>
      </c>
      <c r="K9" s="32">
        <f>J9*AD9</f>
        <v>0</v>
      </c>
      <c r="M9" s="32">
        <f>L9*AD9</f>
        <v>0</v>
      </c>
      <c r="O9" s="32">
        <f>N9*AD9</f>
        <v>0</v>
      </c>
      <c r="Q9" s="32">
        <f>P9*AD9</f>
        <v>0</v>
      </c>
      <c r="Z9" s="32" t="s">
        <v>137</v>
      </c>
      <c r="AB9" s="32" t="s">
        <v>268</v>
      </c>
      <c r="AC9" s="32">
        <f>B9+D9+F9+H9+J9+L9+N9+P9</f>
        <v>37000</v>
      </c>
      <c r="AD9" s="53">
        <v>0.0029461090909091</v>
      </c>
      <c r="AE9" s="53">
        <f>AC9*AD9</f>
        <v>109.0060363636367</v>
      </c>
      <c r="AG9" s="32">
        <v>24</v>
      </c>
      <c r="AI9" s="32" t="s">
        <v>163</v>
      </c>
      <c r="AJ9" s="55">
        <f>SUM(C2:C995)</f>
        <v>385.3408763819105</v>
      </c>
      <c r="AL9" s="32" t="s">
        <v>109</v>
      </c>
      <c r="AM9" s="55">
        <f>AJ9/$AJ$5</f>
        <v>12.43035085102937</v>
      </c>
      <c r="AO9" s="32" t="s">
        <v>127</v>
      </c>
      <c r="AP9" s="32">
        <f>COUNTA(V2:V51)</f>
        <v>0</v>
      </c>
    </row>
    <row r="10" spans="1:42" ht="14.25">
      <c r="A10" s="56">
        <v>43382</v>
      </c>
      <c r="B10" s="32">
        <v>400</v>
      </c>
      <c r="C10" s="32">
        <f>B10*AD10</f>
        <v>1.17844363636364</v>
      </c>
      <c r="D10" s="32">
        <v>6600</v>
      </c>
      <c r="E10" s="32">
        <f>D10*AD10</f>
        <v>19.444320000000058</v>
      </c>
      <c r="F10" s="32">
        <v>5000</v>
      </c>
      <c r="G10" s="32">
        <f>F10*AD10</f>
        <v>14.7305454545455</v>
      </c>
      <c r="I10" s="32">
        <f>H10*AD10</f>
        <v>0</v>
      </c>
      <c r="K10" s="32">
        <f>J10*AD10</f>
        <v>0</v>
      </c>
      <c r="M10" s="32">
        <f>L10*AD10</f>
        <v>0</v>
      </c>
      <c r="O10" s="32">
        <f>N10*AD10</f>
        <v>0</v>
      </c>
      <c r="Q10" s="32">
        <f>P10*AD10</f>
        <v>0</v>
      </c>
      <c r="T10" s="32" t="s">
        <v>137</v>
      </c>
      <c r="AB10" s="32" t="s">
        <v>259</v>
      </c>
      <c r="AC10" s="32">
        <f>B10+D10+F10+H10+J10+L10+N10+P10</f>
        <v>12000</v>
      </c>
      <c r="AD10" s="53">
        <v>0.0029461090909091</v>
      </c>
      <c r="AE10" s="53">
        <f>AC10*AD10</f>
        <v>35.3533090909092</v>
      </c>
      <c r="AG10" s="32">
        <v>24</v>
      </c>
      <c r="AI10" s="32" t="s">
        <v>164</v>
      </c>
      <c r="AJ10" s="55">
        <f>SUM(E2:E995)</f>
        <v>483.0737399543175</v>
      </c>
      <c r="AL10" s="32" t="s">
        <v>51</v>
      </c>
      <c r="AM10" s="55">
        <f>AJ10/$AJ$5</f>
        <v>15.583023869494113</v>
      </c>
      <c r="AO10" s="32" t="s">
        <v>130</v>
      </c>
      <c r="AP10" s="32">
        <f>COUNTA(Y2:Y52)</f>
        <v>0</v>
      </c>
    </row>
    <row r="11" spans="1:42" ht="14.25">
      <c r="A11" s="56">
        <v>43383</v>
      </c>
      <c r="B11" s="32">
        <f>14000*2</f>
        <v>28000</v>
      </c>
      <c r="C11" s="32">
        <f>B11*AD11</f>
        <v>82.4910545454548</v>
      </c>
      <c r="D11" s="32">
        <f>2400</f>
        <v>2400</v>
      </c>
      <c r="E11" s="32">
        <f>D11*AD11</f>
        <v>7.07066181818184</v>
      </c>
      <c r="F11" s="32">
        <f>4100</f>
        <v>4100</v>
      </c>
      <c r="G11" s="32">
        <f>F11*AD11</f>
        <v>12.07904727272731</v>
      </c>
      <c r="H11" s="32">
        <f>10000*2</f>
        <v>20000</v>
      </c>
      <c r="I11" s="32">
        <f>H11*AD11</f>
        <v>58.922181818182</v>
      </c>
      <c r="K11" s="32">
        <f>J11*AD11</f>
        <v>0</v>
      </c>
      <c r="M11" s="32">
        <f>L11*AD11</f>
        <v>0</v>
      </c>
      <c r="O11" s="32">
        <f>N11*AD11</f>
        <v>0</v>
      </c>
      <c r="Q11" s="32">
        <f>P11*AD11</f>
        <v>0</v>
      </c>
      <c r="T11" s="32" t="s">
        <v>137</v>
      </c>
      <c r="AB11" s="60" t="s">
        <v>259</v>
      </c>
      <c r="AC11" s="32">
        <f>B11+D11+F11+H11+J11+L11+N11+P11</f>
        <v>54500</v>
      </c>
      <c r="AD11" s="53">
        <v>0.0029461090909091</v>
      </c>
      <c r="AE11" s="53">
        <f>AC11*AD11</f>
        <v>160.56294545454594</v>
      </c>
      <c r="AG11" s="32">
        <v>24</v>
      </c>
      <c r="AI11" s="32" t="s">
        <v>165</v>
      </c>
      <c r="AJ11" s="55">
        <f>SUM(G2:G995)</f>
        <v>625.0419077752407</v>
      </c>
      <c r="AL11" s="32" t="s">
        <v>166</v>
      </c>
      <c r="AM11" s="55">
        <f>AJ11/$AJ$5</f>
        <v>20.162642186298086</v>
      </c>
      <c r="AO11" s="32" t="s">
        <v>167</v>
      </c>
      <c r="AP11" s="32">
        <f>COUNTA(Z2:Z53)</f>
        <v>2</v>
      </c>
    </row>
    <row r="12" spans="1:39" ht="14.25">
      <c r="A12" s="56">
        <v>43384</v>
      </c>
      <c r="C12" s="32">
        <f>B12*AD12</f>
        <v>0</v>
      </c>
      <c r="D12" s="32">
        <v>8400</v>
      </c>
      <c r="E12" s="32">
        <f>D12*AD12</f>
        <v>24.74731636363644</v>
      </c>
      <c r="F12" s="32">
        <f>3600</f>
        <v>3600</v>
      </c>
      <c r="G12" s="32">
        <f>F12*AD12</f>
        <v>10.60599272727276</v>
      </c>
      <c r="I12" s="32">
        <f>H12*AD12</f>
        <v>0</v>
      </c>
      <c r="K12" s="32">
        <f>J12*AD12</f>
        <v>0</v>
      </c>
      <c r="M12" s="32">
        <f>L12*AD12</f>
        <v>0</v>
      </c>
      <c r="O12" s="32">
        <f>N12*AD12</f>
        <v>0</v>
      </c>
      <c r="Q12" s="32">
        <f>P12*AD12</f>
        <v>0</v>
      </c>
      <c r="T12" s="32" t="s">
        <v>137</v>
      </c>
      <c r="AB12" s="60" t="s">
        <v>259</v>
      </c>
      <c r="AC12" s="32">
        <f>B12+D12+F12+H12+J12+L12+N12+P12</f>
        <v>12000</v>
      </c>
      <c r="AD12" s="53">
        <v>0.0029461090909091</v>
      </c>
      <c r="AE12" s="53">
        <f>AC12*AD12</f>
        <v>35.3533090909092</v>
      </c>
      <c r="AG12" s="32">
        <v>24</v>
      </c>
      <c r="AI12" s="32" t="s">
        <v>168</v>
      </c>
      <c r="AJ12" s="55">
        <f>SUM(K2:K995)</f>
        <v>62.81220149840112</v>
      </c>
      <c r="AL12" s="32" t="s">
        <v>117</v>
      </c>
      <c r="AM12" s="55">
        <f>AJ12/$AJ$5</f>
        <v>2.0262000483355203</v>
      </c>
    </row>
    <row r="13" spans="1:39" ht="14.25">
      <c r="A13" s="56">
        <v>43385</v>
      </c>
      <c r="B13" s="1"/>
      <c r="C13" s="32">
        <f>B13*AD13</f>
        <v>0</v>
      </c>
      <c r="E13" s="32">
        <f>D13*AD13</f>
        <v>0</v>
      </c>
      <c r="F13" s="32">
        <f>3600+4200</f>
        <v>7800</v>
      </c>
      <c r="G13" s="32">
        <f>F13*AD13</f>
        <v>22.979650909090978</v>
      </c>
      <c r="I13" s="32">
        <f>H13*AD13</f>
        <v>0</v>
      </c>
      <c r="K13" s="32">
        <f>J13*AD13</f>
        <v>0</v>
      </c>
      <c r="M13" s="32">
        <f>L13*AD13</f>
        <v>0</v>
      </c>
      <c r="O13" s="32">
        <f>N13*AD13</f>
        <v>0</v>
      </c>
      <c r="Q13" s="32">
        <f>P13*AD13</f>
        <v>0</v>
      </c>
      <c r="Z13" s="32" t="s">
        <v>137</v>
      </c>
      <c r="AB13" s="60" t="s">
        <v>269</v>
      </c>
      <c r="AC13" s="32">
        <f>B13+D13+F13+H13+J13+L13+N13+P13</f>
        <v>7800</v>
      </c>
      <c r="AD13" s="53">
        <v>0.0029461090909091</v>
      </c>
      <c r="AE13" s="53">
        <f>AC13*AD13</f>
        <v>22.979650909090978</v>
      </c>
      <c r="AG13" s="32">
        <v>24</v>
      </c>
      <c r="AI13" s="32" t="s">
        <v>169</v>
      </c>
      <c r="AJ13" s="55">
        <f>SUM(I2:I995)</f>
        <v>266.0336509090917</v>
      </c>
      <c r="AL13" s="32" t="s">
        <v>115</v>
      </c>
      <c r="AM13" s="55">
        <f>AJ13/$AJ$5</f>
        <v>8.58173067448683</v>
      </c>
    </row>
    <row r="14" spans="1:36" ht="14.25">
      <c r="A14" s="56">
        <v>43386</v>
      </c>
      <c r="B14" s="32">
        <f>20*2</f>
        <v>40</v>
      </c>
      <c r="C14" s="32">
        <f>B14*AD14</f>
        <v>5.519718592964824</v>
      </c>
      <c r="D14" s="32">
        <f>131</f>
        <v>131</v>
      </c>
      <c r="E14" s="32">
        <f>D14*AD14</f>
        <v>18.077078391959798</v>
      </c>
      <c r="F14" s="32">
        <v>80</v>
      </c>
      <c r="G14" s="32">
        <f>F14*AD14</f>
        <v>11.039437185929648</v>
      </c>
      <c r="I14" s="32">
        <f>H14*AD14</f>
        <v>0</v>
      </c>
      <c r="K14" s="32">
        <f>J14*AD14</f>
        <v>0</v>
      </c>
      <c r="L14" s="32">
        <v>370</v>
      </c>
      <c r="M14" s="32">
        <f>L14*AD14</f>
        <v>51.05739698492462</v>
      </c>
      <c r="O14" s="32">
        <f>N14*AD14</f>
        <v>0</v>
      </c>
      <c r="Q14" s="32">
        <f>P14*AD14</f>
        <v>0</v>
      </c>
      <c r="T14" s="32" t="s">
        <v>137</v>
      </c>
      <c r="AB14" s="60" t="s">
        <v>270</v>
      </c>
      <c r="AC14" s="32">
        <f>B14+D14+F14+H14+J14+L14+N14+P14</f>
        <v>621</v>
      </c>
      <c r="AD14" s="53">
        <f>(1373.03)/9950</f>
        <v>0.1379929648241206</v>
      </c>
      <c r="AE14" s="53">
        <f>AC14*AD14</f>
        <v>85.69363115577889</v>
      </c>
      <c r="AG14" s="32">
        <v>25</v>
      </c>
      <c r="AI14" s="32" t="s">
        <v>171</v>
      </c>
      <c r="AJ14" s="55">
        <f>SUM(O2:O995)</f>
        <v>0</v>
      </c>
    </row>
    <row r="15" spans="1:36" ht="14.25">
      <c r="A15" s="56">
        <v>43387</v>
      </c>
      <c r="B15" s="32">
        <f>172*2+60</f>
        <v>404</v>
      </c>
      <c r="C15" s="32">
        <f>B15*AD15</f>
        <v>55.74915778894472</v>
      </c>
      <c r="D15" s="32">
        <f>54+138</f>
        <v>192</v>
      </c>
      <c r="E15" s="32">
        <f>D15*AD15</f>
        <v>26.494649246231155</v>
      </c>
      <c r="F15" s="32">
        <v>60</v>
      </c>
      <c r="G15" s="32">
        <f>F15*AD15</f>
        <v>8.279577889447236</v>
      </c>
      <c r="I15" s="32">
        <f>H15*AD15</f>
        <v>0</v>
      </c>
      <c r="K15" s="32">
        <f>J15*AD15</f>
        <v>0</v>
      </c>
      <c r="L15" s="32">
        <v>290</v>
      </c>
      <c r="M15" s="32">
        <f>L15*AD15</f>
        <v>40.01795979899497</v>
      </c>
      <c r="O15" s="32">
        <f>N15*AD15</f>
        <v>0</v>
      </c>
      <c r="Q15" s="32">
        <f>P15*AD15</f>
        <v>0</v>
      </c>
      <c r="T15" s="32" t="s">
        <v>137</v>
      </c>
      <c r="AB15" s="60" t="s">
        <v>271</v>
      </c>
      <c r="AC15" s="32">
        <f>B15+D15+F15+H15+J15+L15+N15+P15</f>
        <v>946</v>
      </c>
      <c r="AD15" s="53">
        <f>(1373.03)/9950</f>
        <v>0.1379929648241206</v>
      </c>
      <c r="AE15" s="53">
        <f>AC15*AD15</f>
        <v>130.5413447236181</v>
      </c>
      <c r="AG15" s="32">
        <v>25</v>
      </c>
      <c r="AI15" s="32" t="s">
        <v>173</v>
      </c>
      <c r="AJ15" s="32">
        <f>SUM(Q2:Q61)</f>
        <v>0</v>
      </c>
    </row>
    <row r="16" spans="1:35" ht="14.25">
      <c r="A16" s="56">
        <v>43388</v>
      </c>
      <c r="C16" s="32">
        <f>B16*AD16</f>
        <v>0</v>
      </c>
      <c r="D16" s="32">
        <v>201</v>
      </c>
      <c r="E16" s="32">
        <f>D16*AD16</f>
        <v>27.73658592964824</v>
      </c>
      <c r="F16" s="32">
        <v>60</v>
      </c>
      <c r="G16" s="32">
        <f>F16*AD16</f>
        <v>8.279577889447236</v>
      </c>
      <c r="I16" s="32">
        <f>H16*AD16</f>
        <v>0</v>
      </c>
      <c r="J16" s="32">
        <v>380</v>
      </c>
      <c r="K16" s="32">
        <f>J16*AD16</f>
        <v>52.43732663316583</v>
      </c>
      <c r="L16" s="32">
        <v>290</v>
      </c>
      <c r="M16" s="32">
        <f>L16*AD16</f>
        <v>40.01795979899497</v>
      </c>
      <c r="O16" s="32">
        <f>N16*AD16</f>
        <v>0</v>
      </c>
      <c r="Q16" s="32">
        <f>P16*AD16</f>
        <v>0</v>
      </c>
      <c r="T16" s="32" t="s">
        <v>137</v>
      </c>
      <c r="AB16" s="60" t="s">
        <v>250</v>
      </c>
      <c r="AC16" s="32">
        <f>B16+D16+F16+H16+J16+L16+N16+P16</f>
        <v>931</v>
      </c>
      <c r="AD16" s="53">
        <f>(1373.03)/9950</f>
        <v>0.1379929648241206</v>
      </c>
      <c r="AE16" s="53">
        <f>AC16*AD16</f>
        <v>128.47145025125627</v>
      </c>
      <c r="AG16" s="32">
        <v>25</v>
      </c>
      <c r="AI16" s="59"/>
    </row>
    <row r="17" spans="1:44" ht="14.25">
      <c r="A17" s="56">
        <v>43389</v>
      </c>
      <c r="C17" s="32">
        <f>B17*AD17</f>
        <v>0</v>
      </c>
      <c r="D17" s="32">
        <f>87</f>
        <v>87</v>
      </c>
      <c r="E17" s="32">
        <f>D17*AD17</f>
        <v>12.005387939698492</v>
      </c>
      <c r="F17" s="32">
        <f>60+70</f>
        <v>130</v>
      </c>
      <c r="G17" s="32">
        <f>F17*AD17</f>
        <v>17.939085427135677</v>
      </c>
      <c r="I17" s="32">
        <f>H17*AD17</f>
        <v>0</v>
      </c>
      <c r="K17" s="32">
        <f>J17*AD17</f>
        <v>0</v>
      </c>
      <c r="L17" s="32">
        <v>290</v>
      </c>
      <c r="M17" s="32">
        <f>L17*AD17</f>
        <v>40.01795979899497</v>
      </c>
      <c r="O17" s="32">
        <f>N17*AD17</f>
        <v>0</v>
      </c>
      <c r="Q17" s="32">
        <f>P17*AD17</f>
        <v>0</v>
      </c>
      <c r="T17" s="32" t="s">
        <v>137</v>
      </c>
      <c r="AB17" s="60" t="s">
        <v>250</v>
      </c>
      <c r="AC17" s="32">
        <f>B17+D17+F17+H17+J17+L17+N17+P17</f>
        <v>507</v>
      </c>
      <c r="AD17" s="53">
        <f>(1373.03)/9950</f>
        <v>0.1379929648241206</v>
      </c>
      <c r="AE17" s="53">
        <f>AC17*AD17</f>
        <v>69.96243316582914</v>
      </c>
      <c r="AG17" s="32">
        <v>25</v>
      </c>
      <c r="AR17" s="54"/>
    </row>
    <row r="18" spans="1:44" ht="14.25">
      <c r="A18" s="56">
        <v>43390</v>
      </c>
      <c r="C18" s="32">
        <f>B18*AD18</f>
        <v>0</v>
      </c>
      <c r="D18" s="32">
        <f>254</f>
        <v>254</v>
      </c>
      <c r="E18" s="32">
        <f>D18*AD18</f>
        <v>35.05021306532663</v>
      </c>
      <c r="F18" s="32">
        <v>70</v>
      </c>
      <c r="G18" s="32">
        <f>F18*AD18</f>
        <v>9.659507537688443</v>
      </c>
      <c r="I18" s="32">
        <f>H18*AD18</f>
        <v>0</v>
      </c>
      <c r="K18" s="32">
        <f>J18*AD18</f>
        <v>0</v>
      </c>
      <c r="L18" s="32">
        <v>290</v>
      </c>
      <c r="M18" s="32">
        <f>L18*AD18</f>
        <v>40.01795979899497</v>
      </c>
      <c r="O18" s="32">
        <f>N18*AD18</f>
        <v>0</v>
      </c>
      <c r="Q18" s="32">
        <f>P18*AD18</f>
        <v>0</v>
      </c>
      <c r="T18" s="32" t="s">
        <v>137</v>
      </c>
      <c r="AB18" s="60" t="s">
        <v>250</v>
      </c>
      <c r="AC18" s="32">
        <f>B18+D18+F18+H18+J18+L18+N18+P18</f>
        <v>614</v>
      </c>
      <c r="AD18" s="53">
        <f>(1373.03)/9950</f>
        <v>0.1379929648241206</v>
      </c>
      <c r="AE18" s="53">
        <f>AC18*AD18</f>
        <v>84.72768040201005</v>
      </c>
      <c r="AG18" s="32">
        <v>25</v>
      </c>
      <c r="AI18" s="32" t="s">
        <v>177</v>
      </c>
      <c r="AJ18" s="32">
        <f>SUM(AA2:AA51)</f>
        <v>0</v>
      </c>
      <c r="AR18" s="54"/>
    </row>
    <row r="19" spans="1:33" ht="12.75">
      <c r="A19" s="56">
        <v>43391</v>
      </c>
      <c r="C19" s="32">
        <f>B19*AD19</f>
        <v>0</v>
      </c>
      <c r="D19" s="32">
        <v>54</v>
      </c>
      <c r="E19" s="32">
        <f>D19*AD19</f>
        <v>7.451620100502512</v>
      </c>
      <c r="F19" s="32">
        <f>299*2</f>
        <v>598</v>
      </c>
      <c r="G19" s="32">
        <f>F19*AD19</f>
        <v>82.51979296482412</v>
      </c>
      <c r="I19" s="32">
        <f>H19*AD19</f>
        <v>0</v>
      </c>
      <c r="K19" s="32">
        <f>J19*AD19</f>
        <v>0</v>
      </c>
      <c r="L19" s="32">
        <v>290</v>
      </c>
      <c r="M19" s="32">
        <f>L19*AD19</f>
        <v>40.01795979899497</v>
      </c>
      <c r="O19" s="32">
        <f>N19*AD19</f>
        <v>0</v>
      </c>
      <c r="Q19" s="32">
        <f>P19*AD19</f>
        <v>0</v>
      </c>
      <c r="T19" s="32" t="s">
        <v>137</v>
      </c>
      <c r="AB19" s="60" t="s">
        <v>250</v>
      </c>
      <c r="AC19" s="32">
        <f>B19+D19+F19+H19+J19+L19+N19+P19</f>
        <v>942</v>
      </c>
      <c r="AD19" s="53">
        <f>(1373.03)/9950</f>
        <v>0.1379929648241206</v>
      </c>
      <c r="AE19" s="53">
        <f>AC19*AD19</f>
        <v>129.9893728643216</v>
      </c>
      <c r="AG19" s="32">
        <v>25</v>
      </c>
    </row>
    <row r="20" spans="1:33" ht="12.75">
      <c r="A20" s="56">
        <v>43392</v>
      </c>
      <c r="C20" s="32">
        <f>B20*AD20</f>
        <v>0</v>
      </c>
      <c r="D20" s="32">
        <f>142+40</f>
        <v>182</v>
      </c>
      <c r="E20" s="32">
        <f>D20*AD20</f>
        <v>25.11471959798995</v>
      </c>
      <c r="F20" s="32">
        <v>70</v>
      </c>
      <c r="G20" s="32">
        <f>F20*AD20</f>
        <v>9.659507537688443</v>
      </c>
      <c r="I20" s="32">
        <f>H20*AD20</f>
        <v>0</v>
      </c>
      <c r="K20" s="32">
        <f>J20*AD20</f>
        <v>0</v>
      </c>
      <c r="L20" s="32">
        <v>290</v>
      </c>
      <c r="M20" s="32">
        <f>L20*AD20</f>
        <v>40.01795979899497</v>
      </c>
      <c r="O20" s="32">
        <f>N20*AD20</f>
        <v>0</v>
      </c>
      <c r="Q20" s="32">
        <f>P20*AD20</f>
        <v>0</v>
      </c>
      <c r="T20" s="32" t="s">
        <v>137</v>
      </c>
      <c r="AB20" s="60" t="s">
        <v>250</v>
      </c>
      <c r="AC20" s="32">
        <f>B20+D20+F20+H20+J20+L20+N20+P20</f>
        <v>542</v>
      </c>
      <c r="AD20" s="53">
        <f>(1373.03)/9950</f>
        <v>0.1379929648241206</v>
      </c>
      <c r="AE20" s="53">
        <f>AC20*AD20</f>
        <v>74.79218693467337</v>
      </c>
      <c r="AG20" s="32">
        <v>25</v>
      </c>
    </row>
    <row r="21" spans="1:33" ht="14.25">
      <c r="A21" s="56">
        <v>43393</v>
      </c>
      <c r="C21" s="32">
        <f>B21*AD21</f>
        <v>0</v>
      </c>
      <c r="D21" s="32">
        <f>289+18</f>
        <v>307</v>
      </c>
      <c r="E21" s="32">
        <f>D21*AD21</f>
        <v>42.363840201005026</v>
      </c>
      <c r="F21" s="32">
        <v>60</v>
      </c>
      <c r="G21" s="32">
        <f>F21*AD21</f>
        <v>8.279577889447236</v>
      </c>
      <c r="I21" s="32">
        <f>H21*AD21</f>
        <v>0</v>
      </c>
      <c r="K21" s="32">
        <f>J21*AD21</f>
        <v>0</v>
      </c>
      <c r="L21" s="32">
        <v>290</v>
      </c>
      <c r="M21" s="32">
        <f>L21*AD21</f>
        <v>40.01795979899497</v>
      </c>
      <c r="O21" s="32">
        <f>N21*AD21</f>
        <v>0</v>
      </c>
      <c r="Q21" s="32">
        <f>P21*AD21</f>
        <v>0</v>
      </c>
      <c r="T21" s="32" t="s">
        <v>137</v>
      </c>
      <c r="AB21" s="60" t="s">
        <v>250</v>
      </c>
      <c r="AC21" s="32">
        <f>B21+D21+F21+H21+J21+L21+N21+P21</f>
        <v>657</v>
      </c>
      <c r="AD21" s="53">
        <f>(1373.03)/9950</f>
        <v>0.1379929648241206</v>
      </c>
      <c r="AE21" s="53">
        <f>AC21*AD21</f>
        <v>90.66137788944724</v>
      </c>
      <c r="AG21" s="32">
        <v>25</v>
      </c>
    </row>
    <row r="22" spans="1:33" ht="14.25">
      <c r="A22" s="56">
        <v>43394</v>
      </c>
      <c r="C22" s="32">
        <f>B22*AD22</f>
        <v>0</v>
      </c>
      <c r="D22" s="32">
        <f>28</f>
        <v>28</v>
      </c>
      <c r="E22" s="32">
        <f>D22*AD22</f>
        <v>3.863803015075377</v>
      </c>
      <c r="F22" s="32">
        <f>70+75</f>
        <v>145</v>
      </c>
      <c r="G22" s="32">
        <f>F22*AD22</f>
        <v>20.008979899497486</v>
      </c>
      <c r="I22" s="32">
        <f>H22*AD22</f>
        <v>0</v>
      </c>
      <c r="K22" s="32">
        <f>J22*AD22</f>
        <v>0</v>
      </c>
      <c r="L22" s="32">
        <v>290</v>
      </c>
      <c r="M22" s="32">
        <f>L22*AD22</f>
        <v>40.01795979899497</v>
      </c>
      <c r="O22" s="32">
        <f>N22*AD22</f>
        <v>0</v>
      </c>
      <c r="Q22" s="32">
        <f>P22*AD22</f>
        <v>0</v>
      </c>
      <c r="T22" s="32" t="s">
        <v>137</v>
      </c>
      <c r="AB22" s="60" t="s">
        <v>250</v>
      </c>
      <c r="AC22" s="32">
        <f>B22+D22+F22+H22+J22+L22+N22+P22</f>
        <v>463</v>
      </c>
      <c r="AD22" s="53">
        <f>(1373.03)/9950</f>
        <v>0.1379929648241206</v>
      </c>
      <c r="AE22" s="53">
        <f>AC22*AD22</f>
        <v>63.89074271356784</v>
      </c>
      <c r="AG22" s="32">
        <v>25</v>
      </c>
    </row>
    <row r="23" spans="1:33" ht="14.25">
      <c r="A23" s="56">
        <v>43395</v>
      </c>
      <c r="C23" s="32">
        <f>B23*AD23</f>
        <v>0</v>
      </c>
      <c r="D23" s="32">
        <f>40+40</f>
        <v>80</v>
      </c>
      <c r="E23" s="32">
        <f>D23*AD23</f>
        <v>11.039437185929648</v>
      </c>
      <c r="F23" s="32">
        <f>60+70</f>
        <v>130</v>
      </c>
      <c r="G23" s="32">
        <f>F23*AD23</f>
        <v>17.939085427135677</v>
      </c>
      <c r="I23" s="32">
        <f>H23*AD23</f>
        <v>0</v>
      </c>
      <c r="J23" s="32">
        <v>5</v>
      </c>
      <c r="K23" s="32">
        <f>J23*AD23</f>
        <v>0.689964824120603</v>
      </c>
      <c r="L23" s="32">
        <v>290</v>
      </c>
      <c r="M23" s="32">
        <f>L23*AD23</f>
        <v>40.01795979899497</v>
      </c>
      <c r="O23" s="32">
        <f>N23*AD23</f>
        <v>0</v>
      </c>
      <c r="Q23" s="32">
        <f>P23*AD23</f>
        <v>0</v>
      </c>
      <c r="T23" s="32" t="s">
        <v>137</v>
      </c>
      <c r="AB23" s="60" t="s">
        <v>250</v>
      </c>
      <c r="AC23" s="32">
        <f>B23+D23+F23+H23+J23+L23+N23+P23</f>
        <v>505</v>
      </c>
      <c r="AD23" s="53">
        <f>(1373.03)/9950</f>
        <v>0.1379929648241206</v>
      </c>
      <c r="AE23" s="53">
        <f>AC23*AD23</f>
        <v>69.6864472361809</v>
      </c>
      <c r="AG23" s="32">
        <v>25</v>
      </c>
    </row>
    <row r="24" spans="1:33" ht="14.25">
      <c r="A24" s="56">
        <v>43396</v>
      </c>
      <c r="C24" s="32">
        <f>B24*AD24</f>
        <v>0</v>
      </c>
      <c r="D24" s="32">
        <f>48+76</f>
        <v>124</v>
      </c>
      <c r="E24" s="32">
        <f>D24*AD24</f>
        <v>17.111127638190954</v>
      </c>
      <c r="F24" s="32">
        <f>60+70</f>
        <v>130</v>
      </c>
      <c r="G24" s="32">
        <f>F24*AD24</f>
        <v>17.939085427135677</v>
      </c>
      <c r="I24" s="32">
        <f>H24*AD24</f>
        <v>0</v>
      </c>
      <c r="J24" s="32">
        <v>4</v>
      </c>
      <c r="K24" s="32">
        <f>J24*AD24</f>
        <v>0.5519718592964824</v>
      </c>
      <c r="L24" s="32">
        <v>290</v>
      </c>
      <c r="M24" s="32">
        <f>L24*AD24</f>
        <v>40.01795979899497</v>
      </c>
      <c r="O24" s="32">
        <f>N24*AD24</f>
        <v>0</v>
      </c>
      <c r="Q24" s="32">
        <f>P24*AD24</f>
        <v>0</v>
      </c>
      <c r="T24" s="32" t="s">
        <v>137</v>
      </c>
      <c r="AB24" s="60" t="s">
        <v>250</v>
      </c>
      <c r="AC24" s="32">
        <f>B24+D24+F24+H24+J24+L24+N24+P24</f>
        <v>548</v>
      </c>
      <c r="AD24" s="53">
        <f>(1373.03)/9950</f>
        <v>0.1379929648241206</v>
      </c>
      <c r="AE24" s="53">
        <f>AC24*AD24</f>
        <v>75.62014472361808</v>
      </c>
      <c r="AG24" s="32">
        <v>25</v>
      </c>
    </row>
    <row r="25" spans="1:33" ht="14.25">
      <c r="A25" s="56">
        <v>43397</v>
      </c>
      <c r="C25" s="32">
        <f>B25*AD25</f>
        <v>0</v>
      </c>
      <c r="D25" s="32">
        <f>36</f>
        <v>36</v>
      </c>
      <c r="E25" s="32">
        <f>D25*AD25</f>
        <v>4.967746733668342</v>
      </c>
      <c r="F25" s="32">
        <f>70+60</f>
        <v>130</v>
      </c>
      <c r="G25" s="32">
        <f>F25*AD25</f>
        <v>17.939085427135677</v>
      </c>
      <c r="I25" s="32">
        <f>H25*AD25</f>
        <v>0</v>
      </c>
      <c r="K25" s="32">
        <f>J25*AD25</f>
        <v>0</v>
      </c>
      <c r="L25" s="32">
        <v>280</v>
      </c>
      <c r="M25" s="32">
        <f>L25*AD25</f>
        <v>38.63803015075377</v>
      </c>
      <c r="O25" s="32">
        <f>N25*AD25</f>
        <v>0</v>
      </c>
      <c r="Q25" s="32">
        <f>P25*AD25</f>
        <v>0</v>
      </c>
      <c r="T25" s="32" t="s">
        <v>137</v>
      </c>
      <c r="AB25" s="60" t="s">
        <v>250</v>
      </c>
      <c r="AC25" s="32">
        <f>B25+D25+F25+H25+J25+L25+N25+P25</f>
        <v>446</v>
      </c>
      <c r="AD25" s="53">
        <f>(1373.03)/9950</f>
        <v>0.1379929648241206</v>
      </c>
      <c r="AE25" s="53">
        <f>AC25*AD25</f>
        <v>61.544862311557786</v>
      </c>
      <c r="AG25" s="32">
        <v>25</v>
      </c>
    </row>
    <row r="26" spans="1:33" ht="14.25">
      <c r="A26" s="56">
        <v>43398</v>
      </c>
      <c r="C26" s="32">
        <f>B26*AD26</f>
        <v>0</v>
      </c>
      <c r="D26" s="32">
        <f>129</f>
        <v>129</v>
      </c>
      <c r="E26" s="32">
        <f>D26*AD26</f>
        <v>15.878727272727271</v>
      </c>
      <c r="F26" s="32">
        <f>74+70</f>
        <v>144</v>
      </c>
      <c r="G26" s="32">
        <f>F26*AD26</f>
        <v>17.72509090909091</v>
      </c>
      <c r="I26" s="32">
        <f>H26*AD26</f>
        <v>0</v>
      </c>
      <c r="K26" s="32">
        <f>J26*AD26</f>
        <v>0</v>
      </c>
      <c r="L26" s="32">
        <v>314</v>
      </c>
      <c r="M26" s="32">
        <f>L26*AD26</f>
        <v>38.65054545454545</v>
      </c>
      <c r="O26" s="32">
        <f>N26*AD26</f>
        <v>0</v>
      </c>
      <c r="Q26" s="32">
        <f>P26*AD26</f>
        <v>0</v>
      </c>
      <c r="T26" s="32" t="s">
        <v>137</v>
      </c>
      <c r="AB26" s="60" t="s">
        <v>250</v>
      </c>
      <c r="AC26" s="32">
        <f>B26+D26+F26+H26+J26+L26+N26+P26</f>
        <v>587</v>
      </c>
      <c r="AD26" s="53">
        <f>(1145.6+73)/9900</f>
        <v>0.12309090909090908</v>
      </c>
      <c r="AE26" s="53">
        <f>AC26*AD26</f>
        <v>72.25436363636364</v>
      </c>
      <c r="AG26" s="32">
        <v>25</v>
      </c>
    </row>
    <row r="27" spans="1:33" ht="12.75">
      <c r="A27" s="56">
        <v>43399</v>
      </c>
      <c r="C27" s="32">
        <f>B27*AD27</f>
        <v>0</v>
      </c>
      <c r="D27" s="32">
        <f>70+74</f>
        <v>144</v>
      </c>
      <c r="E27" s="32">
        <f>D27*AD27</f>
        <v>17.72509090909091</v>
      </c>
      <c r="F27" s="32">
        <f>59</f>
        <v>59</v>
      </c>
      <c r="G27" s="32">
        <f>F27*AD27</f>
        <v>7.262363636363636</v>
      </c>
      <c r="I27" s="32">
        <f>H27*AD27</f>
        <v>0</v>
      </c>
      <c r="K27" s="32">
        <f>J27*AD27</f>
        <v>0</v>
      </c>
      <c r="L27" s="32">
        <v>314</v>
      </c>
      <c r="M27" s="32">
        <f>L27*AD27</f>
        <v>38.65054545454545</v>
      </c>
      <c r="O27" s="32">
        <f>N27*AD27</f>
        <v>0</v>
      </c>
      <c r="Q27" s="32">
        <f>P27*AD27</f>
        <v>0</v>
      </c>
      <c r="T27" s="32" t="s">
        <v>137</v>
      </c>
      <c r="AB27" s="32" t="s">
        <v>250</v>
      </c>
      <c r="AC27" s="32">
        <f>B27+D27+F27+H27+J27+L27+N27+P27</f>
        <v>517</v>
      </c>
      <c r="AD27" s="53">
        <f>(1145.6+73)/9900</f>
        <v>0.12309090909090908</v>
      </c>
      <c r="AE27" s="53">
        <f>AC27*AD27</f>
        <v>63.638</v>
      </c>
      <c r="AG27" s="32">
        <v>25</v>
      </c>
    </row>
    <row r="28" spans="1:33" ht="12.75">
      <c r="A28" s="56">
        <v>43400</v>
      </c>
      <c r="C28" s="32">
        <f>B28*AD28</f>
        <v>0</v>
      </c>
      <c r="D28" s="32">
        <f>318</f>
        <v>318</v>
      </c>
      <c r="E28" s="32">
        <f>D28*AD28</f>
        <v>39.142909090909086</v>
      </c>
      <c r="F28" s="32">
        <v>598</v>
      </c>
      <c r="G28" s="32">
        <f>F28*AD28</f>
        <v>73.60836363636363</v>
      </c>
      <c r="I28" s="32">
        <f>H28*AD28</f>
        <v>0</v>
      </c>
      <c r="K28" s="32">
        <f>J28*AD28</f>
        <v>0</v>
      </c>
      <c r="L28" s="32">
        <v>314</v>
      </c>
      <c r="M28" s="32">
        <f>L28*AD28</f>
        <v>38.65054545454545</v>
      </c>
      <c r="O28" s="32">
        <f>N28*AD28</f>
        <v>0</v>
      </c>
      <c r="Q28" s="32">
        <f>P28*AD28</f>
        <v>0</v>
      </c>
      <c r="T28" s="32" t="s">
        <v>137</v>
      </c>
      <c r="AB28" s="32" t="s">
        <v>250</v>
      </c>
      <c r="AC28" s="32">
        <f>B28+D28+F28+H28+J28+L28+N28+P28</f>
        <v>1230</v>
      </c>
      <c r="AD28" s="53">
        <f>(1145.6+73)/9900</f>
        <v>0.12309090909090908</v>
      </c>
      <c r="AE28" s="53">
        <f>AC28*AD28</f>
        <v>151.4018181818182</v>
      </c>
      <c r="AG28" s="32">
        <v>25</v>
      </c>
    </row>
    <row r="29" spans="1:33" ht="12.75">
      <c r="A29" s="56">
        <v>43401</v>
      </c>
      <c r="C29" s="32">
        <f>B29*AD29</f>
        <v>0</v>
      </c>
      <c r="D29" s="32">
        <v>68</v>
      </c>
      <c r="E29" s="32">
        <f>D29*AD29</f>
        <v>8.370181818181818</v>
      </c>
      <c r="F29" s="32">
        <f>70*2</f>
        <v>140</v>
      </c>
      <c r="G29" s="32">
        <f>F29*AD29</f>
        <v>17.23272727272727</v>
      </c>
      <c r="I29" s="32">
        <f>H29*AD29</f>
        <v>0</v>
      </c>
      <c r="K29" s="32">
        <f>J29*AD29</f>
        <v>0</v>
      </c>
      <c r="L29" s="32">
        <v>314</v>
      </c>
      <c r="M29" s="32">
        <f>L29*AD29</f>
        <v>38.65054545454545</v>
      </c>
      <c r="O29" s="32">
        <f>N29*AD29</f>
        <v>0</v>
      </c>
      <c r="Q29" s="32">
        <f>P29*AD29</f>
        <v>0</v>
      </c>
      <c r="T29" s="32" t="s">
        <v>137</v>
      </c>
      <c r="AB29" s="32" t="s">
        <v>250</v>
      </c>
      <c r="AC29" s="32">
        <f>B29+D29+F29+H29+J29+L29+N29+P29</f>
        <v>522</v>
      </c>
      <c r="AD29" s="53">
        <f>(1145.6+73)/9900</f>
        <v>0.12309090909090908</v>
      </c>
      <c r="AE29" s="53">
        <f>AC29*AD29</f>
        <v>64.25345454545455</v>
      </c>
      <c r="AG29" s="32">
        <v>25</v>
      </c>
    </row>
    <row r="30" spans="1:33" ht="12.75">
      <c r="A30" s="56">
        <v>43402</v>
      </c>
      <c r="C30" s="32">
        <f>B30*AD30</f>
        <v>0</v>
      </c>
      <c r="D30" s="32">
        <f>20+27</f>
        <v>47</v>
      </c>
      <c r="E30" s="32">
        <f>D30*AD30</f>
        <v>5.785272727272727</v>
      </c>
      <c r="F30" s="32">
        <f>70+74</f>
        <v>144</v>
      </c>
      <c r="G30" s="32">
        <f>F30*AD30</f>
        <v>17.72509090909091</v>
      </c>
      <c r="I30" s="32">
        <f>H30*AD30</f>
        <v>0</v>
      </c>
      <c r="K30" s="32">
        <f>J30*AD30</f>
        <v>0</v>
      </c>
      <c r="L30" s="32">
        <v>310</v>
      </c>
      <c r="M30" s="32">
        <f>L30*AD30</f>
        <v>38.158181818181816</v>
      </c>
      <c r="O30" s="32">
        <f>N30*AD30</f>
        <v>0</v>
      </c>
      <c r="Q30" s="32">
        <f>P30*AD30</f>
        <v>0</v>
      </c>
      <c r="T30" s="32" t="s">
        <v>137</v>
      </c>
      <c r="AB30" s="32" t="s">
        <v>250</v>
      </c>
      <c r="AC30" s="32">
        <f>B30+D30+F30+H30+J30+L30+N30+P30</f>
        <v>501</v>
      </c>
      <c r="AD30" s="53">
        <f>(1145.6+73)/9900</f>
        <v>0.12309090909090908</v>
      </c>
      <c r="AE30" s="53">
        <f>AC30*AD30</f>
        <v>61.66854545454545</v>
      </c>
      <c r="AG30" s="32">
        <v>25</v>
      </c>
    </row>
    <row r="31" spans="1:33" ht="12.75">
      <c r="A31" s="56">
        <v>43403</v>
      </c>
      <c r="C31" s="32">
        <f>B31*AD31</f>
        <v>0</v>
      </c>
      <c r="D31" s="32">
        <f>108</f>
        <v>108</v>
      </c>
      <c r="E31" s="32">
        <f>D31*AD31</f>
        <v>13.293818181818182</v>
      </c>
      <c r="F31" s="32">
        <f>74+70</f>
        <v>144</v>
      </c>
      <c r="G31" s="32">
        <f>F31*AD31</f>
        <v>17.72509090909091</v>
      </c>
      <c r="I31" s="32">
        <f>H31*AD31</f>
        <v>0</v>
      </c>
      <c r="K31" s="32">
        <f>J31*AD31</f>
        <v>0</v>
      </c>
      <c r="L31" s="32">
        <v>310</v>
      </c>
      <c r="M31" s="32">
        <f>L31*AD31</f>
        <v>38.158181818181816</v>
      </c>
      <c r="O31" s="32">
        <f>N31*AD31</f>
        <v>0</v>
      </c>
      <c r="Q31" s="32">
        <f>P31*AD31</f>
        <v>0</v>
      </c>
      <c r="T31" s="32" t="s">
        <v>137</v>
      </c>
      <c r="AB31" s="32" t="s">
        <v>250</v>
      </c>
      <c r="AC31" s="32">
        <f>B31+D31+F31+H31+J31+L31+N31+P31</f>
        <v>562</v>
      </c>
      <c r="AD31" s="53">
        <f>(1145.6+73)/9900</f>
        <v>0.12309090909090908</v>
      </c>
      <c r="AE31" s="53">
        <f>AC31*AD31</f>
        <v>69.17709090909091</v>
      </c>
      <c r="AG31" s="32">
        <v>25</v>
      </c>
    </row>
    <row r="32" spans="1:33" ht="12.75">
      <c r="A32" s="56">
        <v>43404</v>
      </c>
      <c r="C32" s="32">
        <f>B32*AD32</f>
        <v>0</v>
      </c>
      <c r="D32" s="32">
        <f>72</f>
        <v>72</v>
      </c>
      <c r="E32" s="32">
        <f>D32*AD32</f>
        <v>8.862545454545455</v>
      </c>
      <c r="F32" s="32">
        <v>144</v>
      </c>
      <c r="G32" s="32">
        <f>F32*AD32</f>
        <v>17.72509090909091</v>
      </c>
      <c r="I32" s="32">
        <f>H32*AD32</f>
        <v>0</v>
      </c>
      <c r="K32" s="32">
        <f>J32*AD32</f>
        <v>0</v>
      </c>
      <c r="L32" s="32">
        <v>310</v>
      </c>
      <c r="M32" s="32">
        <f>L32*AD32</f>
        <v>38.158181818181816</v>
      </c>
      <c r="O32" s="32">
        <f>N32*AD32</f>
        <v>0</v>
      </c>
      <c r="Q32" s="32">
        <f>P32*AD32</f>
        <v>0</v>
      </c>
      <c r="T32" s="32" t="s">
        <v>137</v>
      </c>
      <c r="AB32" s="32" t="s">
        <v>250</v>
      </c>
      <c r="AC32" s="32">
        <f>B32+D32+F32+H32+J32+L32+N32+P32</f>
        <v>526</v>
      </c>
      <c r="AD32" s="53">
        <f>(1145.6+73)/9900</f>
        <v>0.12309090909090908</v>
      </c>
      <c r="AE32" s="53">
        <f>AC32*AD32</f>
        <v>64.74581818181818</v>
      </c>
      <c r="AG32" s="32">
        <v>25</v>
      </c>
    </row>
    <row r="33" spans="1:33" ht="12.75">
      <c r="A33" s="56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f>(1373.03)/9950</f>
        <v>0.1379929648241206</v>
      </c>
      <c r="AE33" s="53">
        <f>AC33*AD33</f>
        <v>0</v>
      </c>
      <c r="AG33" s="32">
        <v>25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(1373.03)/9950</f>
        <v>0.1379929648241206</v>
      </c>
      <c r="AE34" s="53">
        <f>AC34*AD34</f>
        <v>0</v>
      </c>
      <c r="AG34" s="32">
        <v>25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(1373.03)/9950</f>
        <v>0.1379929648241206</v>
      </c>
      <c r="AE35" s="53">
        <f>AC35*AD35</f>
        <v>0</v>
      </c>
      <c r="AG35" s="32">
        <v>25</v>
      </c>
    </row>
    <row r="36" spans="3:33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53">
        <f>(1373.03)/9950</f>
        <v>0.1379929648241206</v>
      </c>
      <c r="AE36" s="53">
        <f>AC36*AD36</f>
        <v>0</v>
      </c>
      <c r="AG36" s="32">
        <v>25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53">
        <f>(1373.03)/9950</f>
        <v>0.1379929648241206</v>
      </c>
      <c r="AE37" s="53">
        <f>AC37*AD37</f>
        <v>0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Q61" s="32">
        <f>P61*AD61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Q62" s="32">
        <f>P62*AD62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Q63" s="32">
        <f>P63*AD63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Q64" s="32">
        <f>P64*AD64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1">
      <selection activeCell="A6" sqref="A6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37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2.7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2.75">
      <c r="A2" s="56">
        <v>43405</v>
      </c>
      <c r="C2" s="32">
        <f>B2*AD2</f>
        <v>0</v>
      </c>
      <c r="D2" s="32">
        <f>85.5</f>
        <v>85.5</v>
      </c>
      <c r="E2" s="32">
        <f>D2*AD2</f>
        <v>10.524272727272727</v>
      </c>
      <c r="F2" s="32">
        <f>74+70</f>
        <v>144</v>
      </c>
      <c r="G2" s="32">
        <f>F2*AD2</f>
        <v>17.72509090909091</v>
      </c>
      <c r="I2" s="32">
        <f>H2*AD2</f>
        <v>0</v>
      </c>
      <c r="K2" s="32">
        <f>J2*AD2</f>
        <v>0</v>
      </c>
      <c r="L2" s="32">
        <v>310</v>
      </c>
      <c r="M2" s="32">
        <f>L2*AD2</f>
        <v>38.158181818181816</v>
      </c>
      <c r="O2" s="32">
        <f>N2*AD2</f>
        <v>0</v>
      </c>
      <c r="Q2" s="32">
        <f>P2*AD2</f>
        <v>0</v>
      </c>
      <c r="T2" s="32" t="s">
        <v>137</v>
      </c>
      <c r="AB2" s="32" t="s">
        <v>250</v>
      </c>
      <c r="AC2" s="32">
        <f>B2+D2+F2+H2+J2+L2+N2+P2</f>
        <v>539.5</v>
      </c>
      <c r="AD2" s="53">
        <f>(1145.6+73)/9900</f>
        <v>0.12309090909090908</v>
      </c>
      <c r="AE2" s="53">
        <f>AC2*AD2</f>
        <v>66.40754545454546</v>
      </c>
      <c r="AG2" s="32">
        <v>25</v>
      </c>
      <c r="AI2" s="32" t="s">
        <v>139</v>
      </c>
      <c r="AJ2" s="55">
        <f>SUM($AE$2:$AE$995)</f>
        <v>334.00718181818183</v>
      </c>
      <c r="AL2" s="32" t="s">
        <v>140</v>
      </c>
      <c r="AM2" s="57">
        <f>$AJ$2/$AJ$5</f>
        <v>83.50179545454546</v>
      </c>
      <c r="AO2" s="32" t="s">
        <v>141</v>
      </c>
      <c r="AP2" s="32">
        <f>COUNTBLANK(L2:L41)-COUNTBLANK(A2:A41)</f>
        <v>0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2.75">
      <c r="A3" s="56">
        <v>43406</v>
      </c>
      <c r="C3" s="32">
        <f>B3*AD3</f>
        <v>0</v>
      </c>
      <c r="D3" s="32">
        <f>26+46</f>
        <v>72</v>
      </c>
      <c r="E3" s="32">
        <f>D3*AD3</f>
        <v>8.862545454545455</v>
      </c>
      <c r="F3" s="32">
        <v>144</v>
      </c>
      <c r="G3" s="32">
        <f>F3*AD3</f>
        <v>17.72509090909091</v>
      </c>
      <c r="I3" s="32">
        <f>H3*AD3</f>
        <v>0</v>
      </c>
      <c r="K3" s="32">
        <f>J3*AD3</f>
        <v>0</v>
      </c>
      <c r="L3" s="32">
        <v>310</v>
      </c>
      <c r="M3" s="32">
        <f>L3*AD3</f>
        <v>38.158181818181816</v>
      </c>
      <c r="O3" s="32">
        <f>N3*AD3</f>
        <v>0</v>
      </c>
      <c r="Q3" s="32">
        <f>P3*AD3</f>
        <v>0</v>
      </c>
      <c r="T3" s="32" t="s">
        <v>137</v>
      </c>
      <c r="AB3" s="32" t="s">
        <v>250</v>
      </c>
      <c r="AC3" s="32">
        <f>B3+D3+F3+H3+J3+L3+N3+P3</f>
        <v>526</v>
      </c>
      <c r="AD3" s="53">
        <f>(1145.6+73)/9900</f>
        <v>0.12309090909090908</v>
      </c>
      <c r="AE3" s="53">
        <f>AC3*AD3</f>
        <v>64.74581818181818</v>
      </c>
      <c r="AG3" s="32">
        <v>25</v>
      </c>
      <c r="AI3" s="59"/>
      <c r="AL3" s="59"/>
      <c r="AM3" s="57"/>
      <c r="AO3" s="32" t="s">
        <v>145</v>
      </c>
      <c r="AP3" s="32">
        <f>COUNT(L2:L37)</f>
        <v>4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2.75">
      <c r="A4" s="56">
        <v>43407</v>
      </c>
      <c r="C4" s="32">
        <f>B4*AD4</f>
        <v>0</v>
      </c>
      <c r="D4" s="32">
        <v>36</v>
      </c>
      <c r="E4" s="32">
        <f>D4*AD4</f>
        <v>4.431272727272727</v>
      </c>
      <c r="F4" s="32">
        <v>598</v>
      </c>
      <c r="G4" s="32">
        <f>F4*AD4</f>
        <v>73.60836363636363</v>
      </c>
      <c r="I4" s="32">
        <f>H4*AD4</f>
        <v>0</v>
      </c>
      <c r="K4" s="32">
        <f>J4*AD4</f>
        <v>0</v>
      </c>
      <c r="L4" s="32">
        <v>310</v>
      </c>
      <c r="M4" s="32">
        <f>L4*AD4</f>
        <v>38.158181818181816</v>
      </c>
      <c r="O4" s="32">
        <f>N4*AD4</f>
        <v>0</v>
      </c>
      <c r="Q4" s="32">
        <f>P4*AD4</f>
        <v>0</v>
      </c>
      <c r="T4" s="32" t="s">
        <v>137</v>
      </c>
      <c r="AB4" s="32" t="s">
        <v>250</v>
      </c>
      <c r="AC4" s="32">
        <f>B4+D4+F4+H4+J4+L4+N4+P4</f>
        <v>944</v>
      </c>
      <c r="AD4" s="53">
        <f>(1145.6+73)/9900</f>
        <v>0.12309090909090908</v>
      </c>
      <c r="AE4" s="53">
        <f>AC4*AD4</f>
        <v>116.19781818181818</v>
      </c>
      <c r="AG4" s="32">
        <v>25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2.75">
      <c r="A5" s="56">
        <v>43408</v>
      </c>
      <c r="C5" s="32">
        <f>B5*AD5</f>
        <v>0</v>
      </c>
      <c r="D5" s="4">
        <f>240+10</f>
        <v>250</v>
      </c>
      <c r="E5" s="32">
        <f>D5*AD5</f>
        <v>30.77272727272727</v>
      </c>
      <c r="F5" s="32">
        <f>144</f>
        <v>144</v>
      </c>
      <c r="G5" s="32">
        <f>F5*AD5</f>
        <v>17.72509090909091</v>
      </c>
      <c r="I5" s="32">
        <f>H5*AD5</f>
        <v>0</v>
      </c>
      <c r="K5" s="32">
        <f>J5*AD5</f>
        <v>0</v>
      </c>
      <c r="L5" s="32">
        <v>310</v>
      </c>
      <c r="M5" s="32">
        <f>L5*AD5</f>
        <v>38.158181818181816</v>
      </c>
      <c r="O5" s="32">
        <f>N5*AD5</f>
        <v>0</v>
      </c>
      <c r="Q5" s="32">
        <f>P5*AD5</f>
        <v>0</v>
      </c>
      <c r="T5" s="32" t="s">
        <v>137</v>
      </c>
      <c r="AB5" s="32" t="s">
        <v>250</v>
      </c>
      <c r="AC5" s="32">
        <f>B5+D5+F5+H5+J5+L5+N5+P5</f>
        <v>704</v>
      </c>
      <c r="AD5" s="53">
        <f>(1145.6+73)/9900</f>
        <v>0.12309090909090908</v>
      </c>
      <c r="AE5" s="53">
        <f>AC5*AD5</f>
        <v>86.65599999999999</v>
      </c>
      <c r="AG5" s="32">
        <v>25</v>
      </c>
      <c r="AI5" s="32" t="s">
        <v>153</v>
      </c>
      <c r="AJ5" s="32">
        <f>COUNTA(A2:A350)</f>
        <v>4</v>
      </c>
      <c r="AO5" s="32" t="s">
        <v>154</v>
      </c>
      <c r="AP5" s="32">
        <f>COUNTA(R2:R50)</f>
        <v>0</v>
      </c>
    </row>
    <row r="6" spans="1:42" ht="12.75">
      <c r="A6" s="56"/>
      <c r="C6" s="32">
        <f>B6*AD6</f>
        <v>0</v>
      </c>
      <c r="D6" s="4"/>
      <c r="E6" s="32">
        <f>D6*AD6</f>
        <v>0</v>
      </c>
      <c r="G6" s="32">
        <f>F6*AD6</f>
        <v>0</v>
      </c>
      <c r="I6" s="32">
        <f>H6*AD6</f>
        <v>0</v>
      </c>
      <c r="K6" s="32">
        <f>J6*AD6</f>
        <v>0</v>
      </c>
      <c r="M6" s="32">
        <f>L6*AD6</f>
        <v>0</v>
      </c>
      <c r="O6" s="32">
        <f>N6*AD6</f>
        <v>0</v>
      </c>
      <c r="Q6" s="32">
        <f>P6*AD6</f>
        <v>0</v>
      </c>
      <c r="AC6" s="32">
        <f>B6+D6+F6+H6+J6+L6+N6+P6</f>
        <v>0</v>
      </c>
      <c r="AD6" s="53">
        <f>(1145.6+73)/9900</f>
        <v>0.12309090909090908</v>
      </c>
      <c r="AE6" s="53">
        <f>AC6*AD6</f>
        <v>0</v>
      </c>
      <c r="AG6" s="32">
        <v>25</v>
      </c>
      <c r="AI6" s="59"/>
      <c r="AO6" s="32" t="s">
        <v>156</v>
      </c>
      <c r="AP6" s="32">
        <f>COUNTA(T2:T50)</f>
        <v>4</v>
      </c>
    </row>
    <row r="7" spans="1:42" ht="12.75">
      <c r="A7" s="56"/>
      <c r="C7" s="32">
        <f>B7*AD7</f>
        <v>0</v>
      </c>
      <c r="E7" s="32">
        <f>D7*AD7</f>
        <v>0</v>
      </c>
      <c r="G7" s="32">
        <f>F7*AD7</f>
        <v>0</v>
      </c>
      <c r="I7" s="32">
        <f>H7*AD7</f>
        <v>0</v>
      </c>
      <c r="K7" s="32">
        <f>J7*AD7</f>
        <v>0</v>
      </c>
      <c r="M7" s="32">
        <f>L7*AD7</f>
        <v>0</v>
      </c>
      <c r="O7" s="32">
        <f>N7*AD7</f>
        <v>0</v>
      </c>
      <c r="Q7" s="32">
        <f>P7*AD7</f>
        <v>0</v>
      </c>
      <c r="AC7" s="32">
        <f>B7+D7+F7+H7+J7+L7+N7+P7</f>
        <v>0</v>
      </c>
      <c r="AD7" s="53">
        <f>(1145.6+73)/9900</f>
        <v>0.12309090909090908</v>
      </c>
      <c r="AE7" s="53">
        <f>AC7*AD7</f>
        <v>0</v>
      </c>
      <c r="AG7" s="32">
        <v>25</v>
      </c>
      <c r="AL7" s="32" t="s">
        <v>158</v>
      </c>
      <c r="AO7" s="32" t="s">
        <v>126</v>
      </c>
      <c r="AP7" s="32">
        <f>COUNTA(U2:U50)</f>
        <v>0</v>
      </c>
    </row>
    <row r="8" spans="1:42" ht="12.75">
      <c r="A8" s="56"/>
      <c r="C8" s="32">
        <f>B8*AD8</f>
        <v>0</v>
      </c>
      <c r="E8" s="32">
        <f>D8*AD8</f>
        <v>0</v>
      </c>
      <c r="G8" s="32">
        <f>F8*AD8</f>
        <v>0</v>
      </c>
      <c r="I8" s="32">
        <f>H8*AD8</f>
        <v>0</v>
      </c>
      <c r="K8" s="32">
        <f>J8*AD8</f>
        <v>0</v>
      </c>
      <c r="M8" s="32">
        <f>L8*AD8</f>
        <v>0</v>
      </c>
      <c r="O8" s="32">
        <f>N8*AD8</f>
        <v>0</v>
      </c>
      <c r="Q8" s="32">
        <f>P8*AD8</f>
        <v>0</v>
      </c>
      <c r="AC8" s="32">
        <f>B8+D8+F8+H8+J8+L8+N8+P8</f>
        <v>0</v>
      </c>
      <c r="AD8" s="53">
        <f>(1145.6+73)/9900</f>
        <v>0.12309090909090908</v>
      </c>
      <c r="AE8" s="53">
        <f>AC8*AD8</f>
        <v>0</v>
      </c>
      <c r="AG8" s="32">
        <v>25</v>
      </c>
      <c r="AI8" s="32" t="s">
        <v>160</v>
      </c>
      <c r="AJ8" s="55">
        <f>SUM(M2:M995)</f>
        <v>152.63272727272727</v>
      </c>
      <c r="AL8" s="32" t="s">
        <v>119</v>
      </c>
      <c r="AM8" s="55">
        <f>AJ8/$AJ$5</f>
        <v>38.158181818181816</v>
      </c>
      <c r="AO8" s="32" t="s">
        <v>161</v>
      </c>
      <c r="AP8" s="32">
        <f>COUNTA(S2:S50)</f>
        <v>0</v>
      </c>
    </row>
    <row r="9" spans="1:42" ht="12.75">
      <c r="A9" s="56"/>
      <c r="B9" s="1"/>
      <c r="C9" s="32">
        <f>B9*AD9</f>
        <v>0</v>
      </c>
      <c r="E9" s="32">
        <f>D9*AD9</f>
        <v>0</v>
      </c>
      <c r="G9" s="32">
        <f>F9*AD9</f>
        <v>0</v>
      </c>
      <c r="I9" s="32">
        <f>H9*AD9</f>
        <v>0</v>
      </c>
      <c r="K9" s="32">
        <f>J9*AD9</f>
        <v>0</v>
      </c>
      <c r="M9" s="32">
        <f>L9*AD9</f>
        <v>0</v>
      </c>
      <c r="O9" s="32">
        <f>N9*AD9</f>
        <v>0</v>
      </c>
      <c r="Q9" s="32">
        <f>P9*AD9</f>
        <v>0</v>
      </c>
      <c r="AC9" s="32">
        <f>B9+D9+F9+H9+J9+L9+N9+P9</f>
        <v>0</v>
      </c>
      <c r="AD9" s="53">
        <f>(1145.6+73)/9900</f>
        <v>0.12309090909090908</v>
      </c>
      <c r="AE9" s="53">
        <f>AC9*AD9</f>
        <v>0</v>
      </c>
      <c r="AG9" s="32">
        <v>25</v>
      </c>
      <c r="AI9" s="32" t="s">
        <v>163</v>
      </c>
      <c r="AJ9" s="55">
        <f>SUM(C2:C995)</f>
        <v>0</v>
      </c>
      <c r="AL9" s="32" t="s">
        <v>109</v>
      </c>
      <c r="AM9" s="55">
        <f>AJ9/$AJ$5</f>
        <v>0</v>
      </c>
      <c r="AO9" s="32" t="s">
        <v>127</v>
      </c>
      <c r="AP9" s="32">
        <f>COUNTA(V2:V51)</f>
        <v>0</v>
      </c>
    </row>
    <row r="10" spans="1:42" ht="12.75">
      <c r="A10" s="56"/>
      <c r="C10" s="32">
        <f>B10*AD10</f>
        <v>0</v>
      </c>
      <c r="E10" s="32">
        <f>D10*AD10</f>
        <v>0</v>
      </c>
      <c r="G10" s="32">
        <f>F10*AD10</f>
        <v>0</v>
      </c>
      <c r="I10" s="32">
        <f>H10*AD10</f>
        <v>0</v>
      </c>
      <c r="K10" s="32">
        <f>J10*AD10</f>
        <v>0</v>
      </c>
      <c r="M10" s="32">
        <f>L10*AD10</f>
        <v>0</v>
      </c>
      <c r="O10" s="32">
        <f>N10*AD10</f>
        <v>0</v>
      </c>
      <c r="Q10" s="32">
        <f>P10*AD10</f>
        <v>0</v>
      </c>
      <c r="AC10" s="32">
        <f>B10+D10+F10+H10+J10+L10+N10+P10</f>
        <v>0</v>
      </c>
      <c r="AD10" s="53">
        <f>(1145.6+73)/9900</f>
        <v>0.12309090909090908</v>
      </c>
      <c r="AE10" s="53">
        <f>AC10*AD10</f>
        <v>0</v>
      </c>
      <c r="AG10" s="32">
        <v>25</v>
      </c>
      <c r="AI10" s="32" t="s">
        <v>164</v>
      </c>
      <c r="AJ10" s="55">
        <f>SUM(E2:E995)</f>
        <v>54.59081818181818</v>
      </c>
      <c r="AL10" s="32" t="s">
        <v>51</v>
      </c>
      <c r="AM10" s="55">
        <f>AJ10/$AJ$5</f>
        <v>13.647704545454545</v>
      </c>
      <c r="AO10" s="32" t="s">
        <v>130</v>
      </c>
      <c r="AP10" s="32">
        <f>COUNTA(Y2:Y52)</f>
        <v>0</v>
      </c>
    </row>
    <row r="11" spans="1:42" ht="12.75">
      <c r="A11" s="56"/>
      <c r="C11" s="32">
        <f>B11*AD11</f>
        <v>0</v>
      </c>
      <c r="E11" s="32">
        <f>D11*AD11</f>
        <v>0</v>
      </c>
      <c r="G11" s="32">
        <f>F11*AD11</f>
        <v>0</v>
      </c>
      <c r="I11" s="32">
        <f>H11*AD11</f>
        <v>0</v>
      </c>
      <c r="K11" s="32">
        <f>J11*AD11</f>
        <v>0</v>
      </c>
      <c r="M11" s="32">
        <f>L11*AD11</f>
        <v>0</v>
      </c>
      <c r="O11" s="32">
        <f>N11*AD11</f>
        <v>0</v>
      </c>
      <c r="Q11" s="32">
        <f>P11*AD11</f>
        <v>0</v>
      </c>
      <c r="AB11" s="60"/>
      <c r="AC11" s="32">
        <f>B11+D11+F11+H11+J11+L11+N11+P11</f>
        <v>0</v>
      </c>
      <c r="AD11" s="53">
        <f>(1145.6+73)/9900</f>
        <v>0.12309090909090908</v>
      </c>
      <c r="AE11" s="53">
        <f>AC11*AD11</f>
        <v>0</v>
      </c>
      <c r="AG11" s="32">
        <v>25</v>
      </c>
      <c r="AI11" s="32" t="s">
        <v>165</v>
      </c>
      <c r="AJ11" s="55">
        <f>SUM(G2:G995)</f>
        <v>126.78363636363636</v>
      </c>
      <c r="AL11" s="32" t="s">
        <v>166</v>
      </c>
      <c r="AM11" s="55">
        <f>AJ11/$AJ$5</f>
        <v>31.69590909090909</v>
      </c>
      <c r="AO11" s="32" t="s">
        <v>167</v>
      </c>
      <c r="AP11" s="32">
        <f>COUNTA(Z2:Z53)</f>
        <v>0</v>
      </c>
    </row>
    <row r="12" spans="1:39" ht="12.75">
      <c r="A12" s="56"/>
      <c r="C12" s="32">
        <f>B12*AD12</f>
        <v>0</v>
      </c>
      <c r="E12" s="32">
        <f>D12*AD12</f>
        <v>0</v>
      </c>
      <c r="G12" s="32">
        <f>F12*AD12</f>
        <v>0</v>
      </c>
      <c r="I12" s="32">
        <f>H12*AD12</f>
        <v>0</v>
      </c>
      <c r="K12" s="32">
        <f>J12*AD12</f>
        <v>0</v>
      </c>
      <c r="M12" s="32">
        <f>L12*AD12</f>
        <v>0</v>
      </c>
      <c r="O12" s="32">
        <f>N12*AD12</f>
        <v>0</v>
      </c>
      <c r="Q12" s="32">
        <f>P12*AD12</f>
        <v>0</v>
      </c>
      <c r="AB12" s="60"/>
      <c r="AC12" s="32">
        <f>B12+D12+F12+H12+J12+L12+N12+P12</f>
        <v>0</v>
      </c>
      <c r="AD12" s="53">
        <f>(1145.6+73)/9900</f>
        <v>0.12309090909090908</v>
      </c>
      <c r="AE12" s="53">
        <f>AC12*AD12</f>
        <v>0</v>
      </c>
      <c r="AG12" s="32">
        <v>25</v>
      </c>
      <c r="AI12" s="32" t="s">
        <v>168</v>
      </c>
      <c r="AJ12" s="55">
        <f>SUM(K2:K995)</f>
        <v>0</v>
      </c>
      <c r="AL12" s="32" t="s">
        <v>117</v>
      </c>
      <c r="AM12" s="55">
        <f>AJ12/$AJ$5</f>
        <v>0</v>
      </c>
    </row>
    <row r="13" spans="1:39" ht="12.75">
      <c r="A13" s="56"/>
      <c r="B13" s="1"/>
      <c r="C13" s="32">
        <f>B13*AD13</f>
        <v>0</v>
      </c>
      <c r="E13" s="32">
        <f>D13*AD13</f>
        <v>0</v>
      </c>
      <c r="G13" s="32">
        <f>F13*AD13</f>
        <v>0</v>
      </c>
      <c r="I13" s="32">
        <f>H13*AD13</f>
        <v>0</v>
      </c>
      <c r="K13" s="32">
        <f>J13*AD13</f>
        <v>0</v>
      </c>
      <c r="M13" s="32">
        <f>L13*AD13</f>
        <v>0</v>
      </c>
      <c r="O13" s="32">
        <f>N13*AD13</f>
        <v>0</v>
      </c>
      <c r="Q13" s="32">
        <f>P13*AD13</f>
        <v>0</v>
      </c>
      <c r="AB13" s="60"/>
      <c r="AC13" s="32">
        <f>B13+D13+F13+H13+J13+L13+N13+P13</f>
        <v>0</v>
      </c>
      <c r="AD13" s="53">
        <f>(1145.6+73)/9900</f>
        <v>0.12309090909090908</v>
      </c>
      <c r="AE13" s="53">
        <f>AC13*AD13</f>
        <v>0</v>
      </c>
      <c r="AG13" s="32">
        <v>25</v>
      </c>
      <c r="AI13" s="32" t="s">
        <v>169</v>
      </c>
      <c r="AJ13" s="55">
        <f>SUM(I2:I995)</f>
        <v>0</v>
      </c>
      <c r="AL13" s="32" t="s">
        <v>115</v>
      </c>
      <c r="AM13" s="55">
        <f>AJ13/$AJ$5</f>
        <v>0</v>
      </c>
    </row>
    <row r="14" spans="1:36" ht="12.75">
      <c r="A14" s="56"/>
      <c r="C14" s="32">
        <f>B14*AD14</f>
        <v>0</v>
      </c>
      <c r="E14" s="32">
        <f>D14*AD14</f>
        <v>0</v>
      </c>
      <c r="G14" s="32">
        <f>F14*AD14</f>
        <v>0</v>
      </c>
      <c r="I14" s="32">
        <f>H14*AD14</f>
        <v>0</v>
      </c>
      <c r="K14" s="32">
        <f>J14*AD14</f>
        <v>0</v>
      </c>
      <c r="M14" s="32">
        <f>L14*AD14</f>
        <v>0</v>
      </c>
      <c r="O14" s="32">
        <f>N14*AD14</f>
        <v>0</v>
      </c>
      <c r="Q14" s="32">
        <f>P14*AD14</f>
        <v>0</v>
      </c>
      <c r="AB14" s="60"/>
      <c r="AC14" s="32">
        <f>B14+D14+F14+H14+J14+L14+N14+P14</f>
        <v>0</v>
      </c>
      <c r="AD14" s="53">
        <f>(1145.6+73)/9900</f>
        <v>0.12309090909090908</v>
      </c>
      <c r="AE14" s="53">
        <f>AC14*AD14</f>
        <v>0</v>
      </c>
      <c r="AG14" s="32">
        <v>25</v>
      </c>
      <c r="AI14" s="32" t="s">
        <v>171</v>
      </c>
      <c r="AJ14" s="55">
        <f>SUM(O2:O995)</f>
        <v>0</v>
      </c>
    </row>
    <row r="15" spans="1:36" ht="12.75">
      <c r="A15" s="56"/>
      <c r="C15" s="32">
        <f>B15*AD15</f>
        <v>0</v>
      </c>
      <c r="E15" s="32">
        <f>D15*AD15</f>
        <v>0</v>
      </c>
      <c r="G15" s="32">
        <f>F15*AD15</f>
        <v>0</v>
      </c>
      <c r="I15" s="32">
        <f>H15*AD15</f>
        <v>0</v>
      </c>
      <c r="K15" s="32">
        <f>J15*AD15</f>
        <v>0</v>
      </c>
      <c r="M15" s="32">
        <f>L15*AD15</f>
        <v>0</v>
      </c>
      <c r="O15" s="32">
        <f>N15*AD15</f>
        <v>0</v>
      </c>
      <c r="Q15" s="32">
        <f>P15*AD15</f>
        <v>0</v>
      </c>
      <c r="AB15" s="60"/>
      <c r="AC15" s="32">
        <f>B15+D15+F15+H15+J15+L15+N15+P15</f>
        <v>0</v>
      </c>
      <c r="AD15" s="53">
        <f>(1145.6+73)/9900</f>
        <v>0.12309090909090908</v>
      </c>
      <c r="AE15" s="53">
        <f>AC15*AD15</f>
        <v>0</v>
      </c>
      <c r="AG15" s="32">
        <v>25</v>
      </c>
      <c r="AI15" s="32" t="s">
        <v>173</v>
      </c>
      <c r="AJ15" s="32">
        <f>SUM(Q2:Q61)</f>
        <v>0</v>
      </c>
    </row>
    <row r="16" spans="1:35" ht="12.75">
      <c r="A16" s="56"/>
      <c r="C16" s="32">
        <f>B16*AD16</f>
        <v>0</v>
      </c>
      <c r="E16" s="32">
        <f>D16*AD16</f>
        <v>0</v>
      </c>
      <c r="G16" s="32">
        <f>F16*AD16</f>
        <v>0</v>
      </c>
      <c r="I16" s="32">
        <f>H16*AD16</f>
        <v>0</v>
      </c>
      <c r="K16" s="32">
        <f>J16*AD16</f>
        <v>0</v>
      </c>
      <c r="M16" s="32">
        <f>L16*AD16</f>
        <v>0</v>
      </c>
      <c r="O16" s="32">
        <f>N16*AD16</f>
        <v>0</v>
      </c>
      <c r="Q16" s="32">
        <f>P16*AD16</f>
        <v>0</v>
      </c>
      <c r="AB16" s="60"/>
      <c r="AC16" s="32">
        <f>B16+D16+F16+H16+J16+L16+N16+P16</f>
        <v>0</v>
      </c>
      <c r="AD16" s="53">
        <f>(1145.6+73)/9900</f>
        <v>0.12309090909090908</v>
      </c>
      <c r="AE16" s="53">
        <f>AC16*AD16</f>
        <v>0</v>
      </c>
      <c r="AG16" s="32">
        <v>25</v>
      </c>
      <c r="AI16" s="59"/>
    </row>
    <row r="17" spans="1:44" ht="12.75">
      <c r="A17" s="56"/>
      <c r="C17" s="32">
        <f>B17*AD17</f>
        <v>0</v>
      </c>
      <c r="E17" s="32">
        <f>D17*AD17</f>
        <v>0</v>
      </c>
      <c r="G17" s="32">
        <f>F17*AD17</f>
        <v>0</v>
      </c>
      <c r="I17" s="32">
        <f>H17*AD17</f>
        <v>0</v>
      </c>
      <c r="K17" s="32">
        <f>J17*AD17</f>
        <v>0</v>
      </c>
      <c r="M17" s="32">
        <f>L17*AD17</f>
        <v>0</v>
      </c>
      <c r="O17" s="32">
        <f>N17*AD17</f>
        <v>0</v>
      </c>
      <c r="Q17" s="32">
        <f>P17*AD17</f>
        <v>0</v>
      </c>
      <c r="AB17" s="60"/>
      <c r="AC17" s="32">
        <f>B17+D17+F17+H17+J17+L17+N17+P17</f>
        <v>0</v>
      </c>
      <c r="AD17" s="53">
        <f>(1145.6+73)/9900</f>
        <v>0.12309090909090908</v>
      </c>
      <c r="AE17" s="53">
        <f>AC17*AD17</f>
        <v>0</v>
      </c>
      <c r="AG17" s="32">
        <v>25</v>
      </c>
      <c r="AR17" s="54"/>
    </row>
    <row r="18" spans="1:44" ht="12.75">
      <c r="A18" s="56"/>
      <c r="C18" s="32">
        <f>B18*AD18</f>
        <v>0</v>
      </c>
      <c r="E18" s="32">
        <f>D18*AD18</f>
        <v>0</v>
      </c>
      <c r="G18" s="32">
        <f>F18*AD18</f>
        <v>0</v>
      </c>
      <c r="I18" s="32">
        <f>H18*AD18</f>
        <v>0</v>
      </c>
      <c r="K18" s="32">
        <f>J18*AD18</f>
        <v>0</v>
      </c>
      <c r="M18" s="32">
        <f>L18*AD18</f>
        <v>0</v>
      </c>
      <c r="O18" s="32">
        <f>N18*AD18</f>
        <v>0</v>
      </c>
      <c r="Q18" s="32">
        <f>P18*AD18</f>
        <v>0</v>
      </c>
      <c r="AB18" s="60"/>
      <c r="AC18" s="32">
        <f>B18+D18+F18+H18+J18+L18+N18+P18</f>
        <v>0</v>
      </c>
      <c r="AD18" s="53">
        <f>(1145.6+73)/9900</f>
        <v>0.12309090909090908</v>
      </c>
      <c r="AE18" s="53">
        <f>AC18*AD18</f>
        <v>0</v>
      </c>
      <c r="AG18" s="32">
        <v>25</v>
      </c>
      <c r="AI18" s="32" t="s">
        <v>177</v>
      </c>
      <c r="AJ18" s="32">
        <f>SUM(AA2:AA51)</f>
        <v>0</v>
      </c>
      <c r="AR18" s="54"/>
    </row>
    <row r="19" spans="1:33" ht="12.75">
      <c r="A19" s="56"/>
      <c r="C19" s="32">
        <f>B19*AD19</f>
        <v>0</v>
      </c>
      <c r="E19" s="32">
        <f>D19*AD19</f>
        <v>0</v>
      </c>
      <c r="G19" s="32">
        <f>F19*AD19</f>
        <v>0</v>
      </c>
      <c r="I19" s="32">
        <f>H19*AD19</f>
        <v>0</v>
      </c>
      <c r="K19" s="32">
        <f>J19*AD19</f>
        <v>0</v>
      </c>
      <c r="M19" s="32">
        <f>L19*AD19</f>
        <v>0</v>
      </c>
      <c r="O19" s="32">
        <f>N19*AD19</f>
        <v>0</v>
      </c>
      <c r="Q19" s="32">
        <f>P19*AD19</f>
        <v>0</v>
      </c>
      <c r="AB19" s="60"/>
      <c r="AC19" s="32">
        <f>B19+D19+F19+H19+J19+L19+N19+P19</f>
        <v>0</v>
      </c>
      <c r="AD19" s="53">
        <f>(1145.6+73)/9900</f>
        <v>0.12309090909090908</v>
      </c>
      <c r="AE19" s="53">
        <f>AC19*AD19</f>
        <v>0</v>
      </c>
      <c r="AG19" s="32">
        <v>25</v>
      </c>
    </row>
    <row r="20" spans="1:33" ht="12.75">
      <c r="A20" s="56"/>
      <c r="C20" s="32">
        <f>B20*AD20</f>
        <v>0</v>
      </c>
      <c r="E20" s="32">
        <f>D20*AD20</f>
        <v>0</v>
      </c>
      <c r="G20" s="32">
        <f>F20*AD20</f>
        <v>0</v>
      </c>
      <c r="I20" s="32">
        <f>H20*AD20</f>
        <v>0</v>
      </c>
      <c r="K20" s="32">
        <f>J20*AD20</f>
        <v>0</v>
      </c>
      <c r="M20" s="32">
        <f>L20*AD20</f>
        <v>0</v>
      </c>
      <c r="O20" s="32">
        <f>N20*AD20</f>
        <v>0</v>
      </c>
      <c r="Q20" s="32">
        <f>P20*AD20</f>
        <v>0</v>
      </c>
      <c r="AB20" s="60"/>
      <c r="AC20" s="32">
        <f>B20+D20+F20+H20+J20+L20+N20+P20</f>
        <v>0</v>
      </c>
      <c r="AD20" s="53">
        <f>(1145.6+73)/9900</f>
        <v>0.12309090909090908</v>
      </c>
      <c r="AE20" s="53">
        <f>AC20*AD20</f>
        <v>0</v>
      </c>
      <c r="AG20" s="32">
        <v>25</v>
      </c>
    </row>
    <row r="21" spans="1:33" ht="12.75">
      <c r="A21" s="56"/>
      <c r="C21" s="32">
        <f>B21*AD21</f>
        <v>0</v>
      </c>
      <c r="E21" s="32">
        <f>D21*AD21</f>
        <v>0</v>
      </c>
      <c r="G21" s="32">
        <f>F21*AD21</f>
        <v>0</v>
      </c>
      <c r="I21" s="32">
        <f>H21*AD21</f>
        <v>0</v>
      </c>
      <c r="K21" s="32">
        <f>J21*AD21</f>
        <v>0</v>
      </c>
      <c r="M21" s="32">
        <f>L21*AD21</f>
        <v>0</v>
      </c>
      <c r="O21" s="32">
        <f>N21*AD21</f>
        <v>0</v>
      </c>
      <c r="Q21" s="32">
        <f>P21*AD21</f>
        <v>0</v>
      </c>
      <c r="AB21" s="60"/>
      <c r="AC21" s="32">
        <f>B21+D21+F21+H21+J21+L21+N21+P21</f>
        <v>0</v>
      </c>
      <c r="AD21" s="53">
        <f>(1145.6+73)/9900</f>
        <v>0.12309090909090908</v>
      </c>
      <c r="AE21" s="53">
        <f>AC21*AD21</f>
        <v>0</v>
      </c>
      <c r="AG21" s="32">
        <v>25</v>
      </c>
    </row>
    <row r="22" spans="1:33" ht="12.75">
      <c r="A22" s="56"/>
      <c r="C22" s="32">
        <f>B22*AD22</f>
        <v>0</v>
      </c>
      <c r="E22" s="32">
        <f>D22*AD22</f>
        <v>0</v>
      </c>
      <c r="G22" s="32">
        <f>F22*AD22</f>
        <v>0</v>
      </c>
      <c r="I22" s="32">
        <f>H22*AD22</f>
        <v>0</v>
      </c>
      <c r="K22" s="32">
        <f>J22*AD22</f>
        <v>0</v>
      </c>
      <c r="M22" s="32">
        <f>L22*AD22</f>
        <v>0</v>
      </c>
      <c r="O22" s="32">
        <f>N22*AD22</f>
        <v>0</v>
      </c>
      <c r="Q22" s="32">
        <f>P22*AD22</f>
        <v>0</v>
      </c>
      <c r="AB22" s="60"/>
      <c r="AC22" s="32">
        <f>B22+D22+F22+H22+J22+L22+N22+P22</f>
        <v>0</v>
      </c>
      <c r="AD22" s="53">
        <f>(1145.6+73)/9900</f>
        <v>0.12309090909090908</v>
      </c>
      <c r="AE22" s="53">
        <f>AC22*AD22</f>
        <v>0</v>
      </c>
      <c r="AG22" s="32">
        <v>25</v>
      </c>
    </row>
    <row r="23" spans="1:33" ht="12.75">
      <c r="A23" s="56"/>
      <c r="C23" s="32">
        <f>B23*AD23</f>
        <v>0</v>
      </c>
      <c r="E23" s="32">
        <f>D23*AD23</f>
        <v>0</v>
      </c>
      <c r="G23" s="32">
        <f>F23*AD23</f>
        <v>0</v>
      </c>
      <c r="I23" s="32">
        <f>H23*AD23</f>
        <v>0</v>
      </c>
      <c r="K23" s="32">
        <f>J23*AD23</f>
        <v>0</v>
      </c>
      <c r="M23" s="32">
        <f>L23*AD23</f>
        <v>0</v>
      </c>
      <c r="O23" s="32">
        <f>N23*AD23</f>
        <v>0</v>
      </c>
      <c r="Q23" s="32">
        <f>P23*AD23</f>
        <v>0</v>
      </c>
      <c r="AB23" s="60"/>
      <c r="AC23" s="32">
        <f>B23+D23+F23+H23+J23+L23+N23+P23</f>
        <v>0</v>
      </c>
      <c r="AD23" s="53">
        <f>(1145.6+73)/9900</f>
        <v>0.12309090909090908</v>
      </c>
      <c r="AE23" s="53">
        <f>AC23*AD23</f>
        <v>0</v>
      </c>
      <c r="AG23" s="32">
        <v>25</v>
      </c>
    </row>
    <row r="24" spans="1:33" ht="12.75">
      <c r="A24" s="56"/>
      <c r="C24" s="32">
        <f>B24*AD24</f>
        <v>0</v>
      </c>
      <c r="E24" s="32">
        <f>D24*AD24</f>
        <v>0</v>
      </c>
      <c r="G24" s="32">
        <f>F24*AD24</f>
        <v>0</v>
      </c>
      <c r="I24" s="32">
        <f>H24*AD24</f>
        <v>0</v>
      </c>
      <c r="K24" s="32">
        <f>J24*AD24</f>
        <v>0</v>
      </c>
      <c r="M24" s="32">
        <f>L24*AD24</f>
        <v>0</v>
      </c>
      <c r="O24" s="32">
        <f>N24*AD24</f>
        <v>0</v>
      </c>
      <c r="Q24" s="32">
        <f>P24*AD24</f>
        <v>0</v>
      </c>
      <c r="AB24" s="60"/>
      <c r="AC24" s="32">
        <f>B24+D24+F24+H24+J24+L24+N24+P24</f>
        <v>0</v>
      </c>
      <c r="AD24" s="53">
        <f>(1145.6+73)/9900</f>
        <v>0.12309090909090908</v>
      </c>
      <c r="AE24" s="53">
        <f>AC24*AD24</f>
        <v>0</v>
      </c>
      <c r="AG24" s="32">
        <v>25</v>
      </c>
    </row>
    <row r="25" spans="1:33" ht="12.75">
      <c r="A25" s="56"/>
      <c r="C25" s="32">
        <f>B25*AD25</f>
        <v>0</v>
      </c>
      <c r="E25" s="32">
        <f>D25*AD25</f>
        <v>0</v>
      </c>
      <c r="G25" s="32">
        <f>F25*AD25</f>
        <v>0</v>
      </c>
      <c r="I25" s="32">
        <f>H25*AD25</f>
        <v>0</v>
      </c>
      <c r="K25" s="32">
        <f>J25*AD25</f>
        <v>0</v>
      </c>
      <c r="M25" s="32">
        <f>L25*AD25</f>
        <v>0</v>
      </c>
      <c r="O25" s="32">
        <f>N25*AD25</f>
        <v>0</v>
      </c>
      <c r="Q25" s="32">
        <f>P25*AD25</f>
        <v>0</v>
      </c>
      <c r="AB25" s="60"/>
      <c r="AC25" s="32">
        <f>B25+D25+F25+H25+J25+L25+N25+P25</f>
        <v>0</v>
      </c>
      <c r="AD25" s="53">
        <f>(1145.6+73)/9900</f>
        <v>0.12309090909090908</v>
      </c>
      <c r="AE25" s="53">
        <f>AC25*AD25</f>
        <v>0</v>
      </c>
      <c r="AG25" s="32">
        <v>25</v>
      </c>
    </row>
    <row r="26" spans="1:33" ht="12.75">
      <c r="A26" s="56"/>
      <c r="C26" s="32">
        <f>B26*AD26</f>
        <v>0</v>
      </c>
      <c r="E26" s="32">
        <f>D26*AD26</f>
        <v>0</v>
      </c>
      <c r="G26" s="32">
        <f>F26*AD26</f>
        <v>0</v>
      </c>
      <c r="I26" s="32">
        <f>H26*AD26</f>
        <v>0</v>
      </c>
      <c r="K26" s="32">
        <f>J26*AD26</f>
        <v>0</v>
      </c>
      <c r="M26" s="32">
        <f>L26*AD26</f>
        <v>0</v>
      </c>
      <c r="O26" s="32">
        <f>N26*AD26</f>
        <v>0</v>
      </c>
      <c r="Q26" s="32">
        <f>P26*AD26</f>
        <v>0</v>
      </c>
      <c r="AB26" s="60"/>
      <c r="AC26" s="32">
        <f>B26+D26+F26+H26+J26+L26+N26+P26</f>
        <v>0</v>
      </c>
      <c r="AD26" s="53">
        <f>(1145.6+73)/9900</f>
        <v>0.12309090909090908</v>
      </c>
      <c r="AE26" s="53">
        <f>AC26*AD26</f>
        <v>0</v>
      </c>
      <c r="AG26" s="32">
        <v>25</v>
      </c>
    </row>
    <row r="27" spans="1:33" ht="12.75">
      <c r="A27" s="56"/>
      <c r="C27" s="32">
        <f>B27*AD27</f>
        <v>0</v>
      </c>
      <c r="E27" s="32">
        <f>D27*AD27</f>
        <v>0</v>
      </c>
      <c r="G27" s="32">
        <f>F27*AD27</f>
        <v>0</v>
      </c>
      <c r="I27" s="32">
        <f>H27*AD27</f>
        <v>0</v>
      </c>
      <c r="K27" s="32">
        <f>J27*AD27</f>
        <v>0</v>
      </c>
      <c r="M27" s="32">
        <f>L27*AD27</f>
        <v>0</v>
      </c>
      <c r="O27" s="32">
        <f>N27*AD27</f>
        <v>0</v>
      </c>
      <c r="Q27" s="32">
        <f>P27*AD27</f>
        <v>0</v>
      </c>
      <c r="AC27" s="32">
        <f>B27+D27+F27+H27+J27+L27+N27+P27</f>
        <v>0</v>
      </c>
      <c r="AD27" s="53">
        <f>(1145.6+73)/9900</f>
        <v>0.12309090909090908</v>
      </c>
      <c r="AE27" s="53">
        <f>AC27*AD27</f>
        <v>0</v>
      </c>
      <c r="AG27" s="32">
        <v>25</v>
      </c>
    </row>
    <row r="28" spans="1:33" ht="12.75">
      <c r="A28" s="56"/>
      <c r="C28" s="32">
        <f>B28*AD28</f>
        <v>0</v>
      </c>
      <c r="E28" s="32">
        <f>D28*AD28</f>
        <v>0</v>
      </c>
      <c r="G28" s="32">
        <f>F28*AD28</f>
        <v>0</v>
      </c>
      <c r="I28" s="32">
        <f>H28*AD28</f>
        <v>0</v>
      </c>
      <c r="K28" s="32">
        <f>J28*AD28</f>
        <v>0</v>
      </c>
      <c r="M28" s="32">
        <f>L28*AD28</f>
        <v>0</v>
      </c>
      <c r="O28" s="32">
        <f>N28*AD28</f>
        <v>0</v>
      </c>
      <c r="Q28" s="32">
        <f>P28*AD28</f>
        <v>0</v>
      </c>
      <c r="AC28" s="32">
        <f>B28+D28+F28+H28+J28+L28+N28+P28</f>
        <v>0</v>
      </c>
      <c r="AD28" s="53">
        <f>(1145.6+73)/9900</f>
        <v>0.12309090909090908</v>
      </c>
      <c r="AE28" s="53">
        <f>AC28*AD28</f>
        <v>0</v>
      </c>
      <c r="AG28" s="32">
        <v>25</v>
      </c>
    </row>
    <row r="29" spans="1:33" ht="12.75">
      <c r="A29" s="56"/>
      <c r="C29" s="32">
        <f>B29*AD29</f>
        <v>0</v>
      </c>
      <c r="E29" s="32">
        <f>D29*AD29</f>
        <v>0</v>
      </c>
      <c r="G29" s="32">
        <f>F29*AD29</f>
        <v>0</v>
      </c>
      <c r="I29" s="32">
        <f>H29*AD29</f>
        <v>0</v>
      </c>
      <c r="K29" s="32">
        <f>J29*AD29</f>
        <v>0</v>
      </c>
      <c r="M29" s="32">
        <f>L29*AD29</f>
        <v>0</v>
      </c>
      <c r="O29" s="32">
        <f>N29*AD29</f>
        <v>0</v>
      </c>
      <c r="Q29" s="32">
        <f>P29*AD29</f>
        <v>0</v>
      </c>
      <c r="AC29" s="32">
        <f>B29+D29+F29+H29+J29+L29+N29+P29</f>
        <v>0</v>
      </c>
      <c r="AD29" s="53">
        <f>(1145.6+73)/9900</f>
        <v>0.12309090909090908</v>
      </c>
      <c r="AE29" s="53">
        <f>AC29*AD29</f>
        <v>0</v>
      </c>
      <c r="AG29" s="32">
        <v>25</v>
      </c>
    </row>
    <row r="30" spans="1:33" ht="12.75">
      <c r="A30" s="56"/>
      <c r="C30" s="32">
        <f>B30*AD30</f>
        <v>0</v>
      </c>
      <c r="E30" s="32">
        <f>D30*AD30</f>
        <v>0</v>
      </c>
      <c r="G30" s="32">
        <f>F30*AD30</f>
        <v>0</v>
      </c>
      <c r="I30" s="32">
        <f>H30*AD30</f>
        <v>0</v>
      </c>
      <c r="K30" s="32">
        <f>J30*AD30</f>
        <v>0</v>
      </c>
      <c r="M30" s="32">
        <f>L30*AD30</f>
        <v>0</v>
      </c>
      <c r="O30" s="32">
        <f>N30*AD30</f>
        <v>0</v>
      </c>
      <c r="Q30" s="32">
        <f>P30*AD30</f>
        <v>0</v>
      </c>
      <c r="AC30" s="32">
        <f>B30+D30+F30+H30+J30+L30+N30+P30</f>
        <v>0</v>
      </c>
      <c r="AD30" s="53">
        <f>(1145.6+73)/9900</f>
        <v>0.12309090909090908</v>
      </c>
      <c r="AE30" s="53">
        <f>AC30*AD30</f>
        <v>0</v>
      </c>
      <c r="AG30" s="32">
        <v>25</v>
      </c>
    </row>
    <row r="31" spans="1:33" ht="12.75">
      <c r="A31" s="56"/>
      <c r="C31" s="32">
        <f>B31*AD31</f>
        <v>0</v>
      </c>
      <c r="E31" s="32">
        <f>D31*AD31</f>
        <v>0</v>
      </c>
      <c r="G31" s="32">
        <f>F31*AD31</f>
        <v>0</v>
      </c>
      <c r="I31" s="32">
        <f>H31*AD31</f>
        <v>0</v>
      </c>
      <c r="K31" s="32">
        <f>J31*AD31</f>
        <v>0</v>
      </c>
      <c r="M31" s="32">
        <f>L31*AD31</f>
        <v>0</v>
      </c>
      <c r="O31" s="32">
        <f>N31*AD31</f>
        <v>0</v>
      </c>
      <c r="Q31" s="32">
        <f>P31*AD31</f>
        <v>0</v>
      </c>
      <c r="AC31" s="32">
        <f>B31+D31+F31+H31+J31+L31+N31+P31</f>
        <v>0</v>
      </c>
      <c r="AD31" s="53">
        <f>(1145.6+73)/9900</f>
        <v>0.12309090909090908</v>
      </c>
      <c r="AE31" s="53">
        <f>AC31*AD31</f>
        <v>0</v>
      </c>
      <c r="AG31" s="32">
        <v>25</v>
      </c>
    </row>
    <row r="32" spans="1:33" ht="12.75">
      <c r="A32" s="56"/>
      <c r="C32" s="32">
        <f>B32*AD32</f>
        <v>0</v>
      </c>
      <c r="E32" s="32">
        <f>D32*AD32</f>
        <v>0</v>
      </c>
      <c r="G32" s="32">
        <f>F32*AD32</f>
        <v>0</v>
      </c>
      <c r="I32" s="32">
        <f>H32*AD32</f>
        <v>0</v>
      </c>
      <c r="K32" s="32">
        <f>J32*AD32</f>
        <v>0</v>
      </c>
      <c r="M32" s="32">
        <f>L32*AD32</f>
        <v>0</v>
      </c>
      <c r="O32" s="32">
        <f>N32*AD32</f>
        <v>0</v>
      </c>
      <c r="Q32" s="32">
        <f>P32*AD32</f>
        <v>0</v>
      </c>
      <c r="AC32" s="32">
        <f>B32+D32+F32+H32+J32+L32+N32+P32</f>
        <v>0</v>
      </c>
      <c r="AD32" s="53">
        <f>(1145.6+73)/9900</f>
        <v>0.12309090909090908</v>
      </c>
      <c r="AE32" s="53">
        <f>AC32*AD32</f>
        <v>0</v>
      </c>
      <c r="AG32" s="32">
        <v>25</v>
      </c>
    </row>
    <row r="33" spans="1:33" ht="12.75">
      <c r="A33" s="56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f>(1145.6+73)/9900</f>
        <v>0.12309090909090908</v>
      </c>
      <c r="AE33" s="53">
        <f>AC33*AD33</f>
        <v>0</v>
      </c>
      <c r="AG33" s="32">
        <v>25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(1373.03)/9950</f>
        <v>0.1379929648241206</v>
      </c>
      <c r="AE34" s="53">
        <f>AC34*AD34</f>
        <v>0</v>
      </c>
      <c r="AG34" s="32">
        <v>25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(1373.03)/9950</f>
        <v>0.1379929648241206</v>
      </c>
      <c r="AE35" s="53">
        <f>AC35*AD35</f>
        <v>0</v>
      </c>
      <c r="AG35" s="32">
        <v>25</v>
      </c>
    </row>
    <row r="36" spans="3:33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53">
        <f>(1373.03)/9950</f>
        <v>0.1379929648241206</v>
      </c>
      <c r="AE36" s="53">
        <f>AC36*AD36</f>
        <v>0</v>
      </c>
      <c r="AG36" s="32">
        <v>25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53">
        <f>(1373.03)/9950</f>
        <v>0.1379929648241206</v>
      </c>
      <c r="AE37" s="53">
        <f>AC37*AD37</f>
        <v>0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Q61" s="32">
        <f>P61*AD61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Q62" s="32">
        <f>P62*AD62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Q63" s="32">
        <f>P63*AD63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Q64" s="32">
        <f>P64*AD64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C45"/>
  <sheetViews>
    <sheetView zoomScale="95" zoomScaleNormal="95" workbookViewId="0" topLeftCell="A1">
      <pane ySplit="1" topLeftCell="A17" activePane="bottomLeft" state="frozen"/>
      <selection pane="topLeft" activeCell="A1" sqref="A1"/>
      <selection pane="bottomLeft" activeCell="A44" sqref="A44"/>
    </sheetView>
  </sheetViews>
  <sheetFormatPr defaultColWidth="11.00390625" defaultRowHeight="14.25"/>
  <cols>
    <col min="1" max="1" width="1.4921875" style="35" customWidth="1"/>
    <col min="2" max="2" width="14.125" style="36" customWidth="1"/>
    <col min="3" max="3" width="6.25390625" style="37" customWidth="1"/>
    <col min="4" max="4" width="14.25390625" style="38" customWidth="1"/>
    <col min="5" max="5" width="10.125" style="38" customWidth="1"/>
    <col min="6" max="7" width="12.75390625" style="38" customWidth="1"/>
    <col min="8" max="9" width="11.75390625" style="38" customWidth="1"/>
    <col min="10" max="10" width="13.125" style="38" customWidth="1"/>
    <col min="11" max="12" width="11.75390625" style="38" customWidth="1"/>
    <col min="13" max="13" width="12.125" style="38" customWidth="1"/>
    <col min="14" max="14" width="10.375" style="39" customWidth="1"/>
    <col min="15" max="15" width="5.00390625" style="40" customWidth="1"/>
    <col min="16" max="16" width="8.375" style="40" customWidth="1"/>
    <col min="17" max="17" width="10.25390625" style="40" customWidth="1"/>
    <col min="18" max="18" width="7.75390625" style="40" customWidth="1"/>
    <col min="19" max="19" width="12.00390625" style="40" customWidth="1"/>
    <col min="20" max="20" width="10.125" style="40" customWidth="1"/>
    <col min="21" max="21" width="11.25390625" style="40" customWidth="1"/>
    <col min="22" max="23" width="13.25390625" style="40" customWidth="1"/>
    <col min="24" max="24" width="11.375" style="40" customWidth="1"/>
    <col min="25" max="25" width="12.25390625" style="40" customWidth="1"/>
    <col min="26" max="26" width="10.625" style="13" customWidth="1"/>
    <col min="27" max="27" width="14.50390625" style="32" customWidth="1"/>
    <col min="28" max="28" width="14.50390625" style="35" customWidth="1"/>
    <col min="29" max="29" width="13.125" style="35" customWidth="1"/>
    <col min="30" max="16384" width="10.625" style="35" customWidth="1"/>
  </cols>
  <sheetData>
    <row r="1" spans="2:27" s="41" customFormat="1" ht="27.75" customHeight="1">
      <c r="B1" s="42" t="s">
        <v>46</v>
      </c>
      <c r="C1" s="42" t="s">
        <v>47</v>
      </c>
      <c r="D1" s="43" t="s">
        <v>48</v>
      </c>
      <c r="E1" s="43" t="s">
        <v>49</v>
      </c>
      <c r="F1" s="43" t="s">
        <v>50</v>
      </c>
      <c r="G1" s="43" t="s">
        <v>51</v>
      </c>
      <c r="H1" s="43" t="s">
        <v>52</v>
      </c>
      <c r="I1" s="43" t="s">
        <v>53</v>
      </c>
      <c r="J1" s="43" t="s">
        <v>54</v>
      </c>
      <c r="K1" s="43" t="s">
        <v>19</v>
      </c>
      <c r="L1" s="43" t="s">
        <v>55</v>
      </c>
      <c r="M1" s="43" t="s">
        <v>56</v>
      </c>
      <c r="N1" s="44"/>
      <c r="O1" s="45" t="s">
        <v>57</v>
      </c>
      <c r="P1" s="45" t="s">
        <v>58</v>
      </c>
      <c r="Q1" s="45" t="s">
        <v>59</v>
      </c>
      <c r="R1" s="45" t="s">
        <v>60</v>
      </c>
      <c r="S1" s="45" t="s">
        <v>61</v>
      </c>
      <c r="T1" s="45" t="s">
        <v>62</v>
      </c>
      <c r="U1" s="45" t="s">
        <v>63</v>
      </c>
      <c r="V1" s="45" t="s">
        <v>16</v>
      </c>
      <c r="W1" s="45" t="s">
        <v>64</v>
      </c>
      <c r="X1" s="45" t="s">
        <v>65</v>
      </c>
      <c r="Y1" s="45" t="s">
        <v>66</v>
      </c>
      <c r="Z1" s="46" t="s">
        <v>67</v>
      </c>
      <c r="AA1" s="47"/>
    </row>
    <row r="2" spans="2:28" s="1" customFormat="1" ht="12.75">
      <c r="B2" s="48" t="s">
        <v>68</v>
      </c>
      <c r="C2" s="37">
        <v>33</v>
      </c>
      <c r="D2" s="49">
        <v>3758.49</v>
      </c>
      <c r="E2" s="50">
        <f>D2/C2</f>
        <v>113.89363636363636</v>
      </c>
      <c r="F2" s="50">
        <v>930.33</v>
      </c>
      <c r="G2" s="50">
        <v>824.28</v>
      </c>
      <c r="H2" s="50">
        <v>1667.23</v>
      </c>
      <c r="I2" s="50">
        <v>100</v>
      </c>
      <c r="J2" s="50">
        <v>143.15</v>
      </c>
      <c r="K2" s="50">
        <v>93.5</v>
      </c>
      <c r="L2" s="50"/>
      <c r="M2" s="50"/>
      <c r="N2" s="51"/>
      <c r="O2" s="52">
        <v>10</v>
      </c>
      <c r="P2" s="52">
        <v>5</v>
      </c>
      <c r="Q2" s="52"/>
      <c r="R2" s="52">
        <v>7</v>
      </c>
      <c r="S2" s="52">
        <v>8</v>
      </c>
      <c r="T2" s="52">
        <v>1</v>
      </c>
      <c r="U2" s="52">
        <v>2</v>
      </c>
      <c r="V2" s="52">
        <v>0</v>
      </c>
      <c r="W2" s="52">
        <v>0</v>
      </c>
      <c r="X2" s="52">
        <v>13</v>
      </c>
      <c r="Y2" s="52">
        <v>20</v>
      </c>
      <c r="Z2" s="13">
        <v>3</v>
      </c>
      <c r="AA2" s="32"/>
      <c r="AB2" s="35"/>
    </row>
    <row r="3" spans="2:29" ht="12.75">
      <c r="B3" s="37" t="s">
        <v>69</v>
      </c>
      <c r="C3" s="37">
        <v>30</v>
      </c>
      <c r="D3" s="49">
        <v>1674.25</v>
      </c>
      <c r="E3" s="50">
        <f>D3/C3</f>
        <v>55.80833333333333</v>
      </c>
      <c r="F3" s="50">
        <v>285</v>
      </c>
      <c r="G3" s="50">
        <v>641</v>
      </c>
      <c r="H3" s="50">
        <v>517.25</v>
      </c>
      <c r="I3" s="50">
        <v>15</v>
      </c>
      <c r="J3" s="50">
        <v>111</v>
      </c>
      <c r="K3" s="50">
        <v>105</v>
      </c>
      <c r="L3" s="50"/>
      <c r="M3" s="50"/>
      <c r="N3" s="51"/>
      <c r="O3" s="52">
        <v>12</v>
      </c>
      <c r="P3" s="52">
        <v>1</v>
      </c>
      <c r="Q3" s="52"/>
      <c r="R3" s="52">
        <v>0</v>
      </c>
      <c r="S3" s="52">
        <v>5</v>
      </c>
      <c r="T3" s="52">
        <v>0</v>
      </c>
      <c r="U3" s="52">
        <v>1</v>
      </c>
      <c r="V3" s="52">
        <v>0</v>
      </c>
      <c r="W3" s="52">
        <v>11</v>
      </c>
      <c r="X3" s="52">
        <v>5</v>
      </c>
      <c r="Y3" s="52">
        <v>25</v>
      </c>
      <c r="Z3" s="13">
        <v>12</v>
      </c>
      <c r="AC3" s="36"/>
    </row>
    <row r="4" spans="2:27" s="1" customFormat="1" ht="14.25">
      <c r="B4" s="37" t="s">
        <v>70</v>
      </c>
      <c r="C4" s="37">
        <v>31</v>
      </c>
      <c r="D4" s="49">
        <v>2382.72</v>
      </c>
      <c r="E4" s="50">
        <f>D4/C4</f>
        <v>76.86193548387097</v>
      </c>
      <c r="F4" s="50">
        <v>669.53</v>
      </c>
      <c r="G4" s="50">
        <v>657.41</v>
      </c>
      <c r="H4" s="50">
        <v>648.06</v>
      </c>
      <c r="I4" s="50">
        <v>23.7</v>
      </c>
      <c r="J4" s="50">
        <v>310.27</v>
      </c>
      <c r="K4" s="50">
        <v>73.77</v>
      </c>
      <c r="L4" s="50"/>
      <c r="M4" s="50"/>
      <c r="N4" s="51"/>
      <c r="O4" s="52">
        <v>3</v>
      </c>
      <c r="P4" s="52">
        <v>5</v>
      </c>
      <c r="Q4" s="52"/>
      <c r="R4" s="52">
        <v>0</v>
      </c>
      <c r="S4" s="52">
        <v>6</v>
      </c>
      <c r="T4" s="52">
        <v>0</v>
      </c>
      <c r="U4" s="52">
        <v>1</v>
      </c>
      <c r="V4" s="52">
        <v>0</v>
      </c>
      <c r="W4" s="52">
        <v>15</v>
      </c>
      <c r="X4" s="52">
        <v>10</v>
      </c>
      <c r="Y4" s="52">
        <v>21</v>
      </c>
      <c r="Z4" s="13">
        <v>2</v>
      </c>
      <c r="AA4" s="32"/>
    </row>
    <row r="5" spans="2:28" ht="14.25">
      <c r="B5" s="37" t="s">
        <v>71</v>
      </c>
      <c r="C5" s="37">
        <v>31</v>
      </c>
      <c r="D5" s="49">
        <v>1865.63</v>
      </c>
      <c r="E5" s="50">
        <f>D5/C5</f>
        <v>60.18161290322581</v>
      </c>
      <c r="F5" s="50">
        <v>656.8</v>
      </c>
      <c r="G5" s="50">
        <v>790.07685</v>
      </c>
      <c r="H5" s="50">
        <v>0</v>
      </c>
      <c r="I5" s="50">
        <v>273.2</v>
      </c>
      <c r="J5" s="50">
        <v>133.95</v>
      </c>
      <c r="K5" s="50">
        <v>11.6</v>
      </c>
      <c r="L5" s="50"/>
      <c r="M5" s="50"/>
      <c r="N5" s="51"/>
      <c r="O5" s="52">
        <v>0</v>
      </c>
      <c r="P5" s="52">
        <v>21</v>
      </c>
      <c r="Q5" s="52">
        <v>5</v>
      </c>
      <c r="R5" s="52">
        <v>4</v>
      </c>
      <c r="S5" s="52">
        <v>1</v>
      </c>
      <c r="T5" s="52">
        <v>0</v>
      </c>
      <c r="U5" s="52">
        <v>0</v>
      </c>
      <c r="V5" s="52">
        <v>0</v>
      </c>
      <c r="W5" s="52">
        <v>0</v>
      </c>
      <c r="X5" s="52">
        <v>14</v>
      </c>
      <c r="Y5" s="52">
        <v>17</v>
      </c>
      <c r="Z5" s="13">
        <v>21</v>
      </c>
      <c r="AB5" s="1"/>
    </row>
    <row r="6" spans="2:26" ht="14.25">
      <c r="B6" s="37" t="s">
        <v>72</v>
      </c>
      <c r="C6" s="37">
        <v>29</v>
      </c>
      <c r="D6" s="49">
        <f>SUM(F6:K6)</f>
        <v>1614.0100000000002</v>
      </c>
      <c r="E6" s="50">
        <f>D6/C6</f>
        <v>55.655517241379314</v>
      </c>
      <c r="F6" s="50">
        <v>505</v>
      </c>
      <c r="G6" s="50">
        <v>908.86</v>
      </c>
      <c r="H6" s="50">
        <v>84.73</v>
      </c>
      <c r="I6" s="50">
        <v>87</v>
      </c>
      <c r="J6" s="50">
        <v>0</v>
      </c>
      <c r="K6" s="50">
        <v>28.42</v>
      </c>
      <c r="L6" s="50"/>
      <c r="M6" s="50"/>
      <c r="N6" s="51"/>
      <c r="O6" s="52">
        <v>0</v>
      </c>
      <c r="P6" s="52">
        <v>9</v>
      </c>
      <c r="Q6" s="52">
        <v>3</v>
      </c>
      <c r="R6" s="52">
        <v>16</v>
      </c>
      <c r="S6" s="52">
        <v>1</v>
      </c>
      <c r="T6" s="52">
        <v>0</v>
      </c>
      <c r="U6" s="52">
        <v>0</v>
      </c>
      <c r="V6" s="52">
        <v>0</v>
      </c>
      <c r="W6" s="52">
        <v>0</v>
      </c>
      <c r="X6" s="52">
        <v>9</v>
      </c>
      <c r="Y6" s="52">
        <v>20</v>
      </c>
      <c r="Z6" s="13">
        <v>23</v>
      </c>
    </row>
    <row r="7" spans="2:27" s="1" customFormat="1" ht="14.25">
      <c r="B7" s="37" t="s">
        <v>73</v>
      </c>
      <c r="C7" s="37">
        <v>31</v>
      </c>
      <c r="D7" s="49">
        <v>1987.12</v>
      </c>
      <c r="E7" s="50">
        <f>D7/C7</f>
        <v>64.10064516129032</v>
      </c>
      <c r="F7" s="50">
        <v>458.38</v>
      </c>
      <c r="G7" s="50">
        <v>746.82</v>
      </c>
      <c r="H7" s="50">
        <v>230.49</v>
      </c>
      <c r="I7" s="50">
        <v>382.37</v>
      </c>
      <c r="J7" s="50">
        <v>104.23</v>
      </c>
      <c r="K7" s="50">
        <v>64.83</v>
      </c>
      <c r="L7" s="50"/>
      <c r="M7" s="50"/>
      <c r="N7" s="51"/>
      <c r="O7" s="52">
        <v>0</v>
      </c>
      <c r="P7" s="52">
        <v>4</v>
      </c>
      <c r="Q7" s="52">
        <v>3</v>
      </c>
      <c r="R7" s="52">
        <v>22</v>
      </c>
      <c r="S7" s="52">
        <v>2</v>
      </c>
      <c r="T7" s="52">
        <v>0</v>
      </c>
      <c r="U7" s="52">
        <v>0</v>
      </c>
      <c r="V7" s="52">
        <v>0</v>
      </c>
      <c r="W7" s="52">
        <v>0</v>
      </c>
      <c r="X7" s="52">
        <v>6</v>
      </c>
      <c r="Y7" s="52">
        <v>25</v>
      </c>
      <c r="Z7" s="13">
        <v>32</v>
      </c>
      <c r="AA7" s="32"/>
    </row>
    <row r="8" spans="2:26" ht="14.25">
      <c r="B8" s="37" t="s">
        <v>74</v>
      </c>
      <c r="C8" s="37">
        <v>30</v>
      </c>
      <c r="D8" s="49">
        <v>3194.31</v>
      </c>
      <c r="E8" s="50">
        <f>D8/C8</f>
        <v>106.477</v>
      </c>
      <c r="F8" s="50">
        <v>483.22</v>
      </c>
      <c r="G8" s="50">
        <v>440</v>
      </c>
      <c r="H8" s="50">
        <v>125.03</v>
      </c>
      <c r="I8" s="50">
        <v>1801.65</v>
      </c>
      <c r="J8" s="50">
        <v>276.36</v>
      </c>
      <c r="K8" s="50">
        <v>68.05</v>
      </c>
      <c r="L8" s="50"/>
      <c r="M8" s="50"/>
      <c r="N8" s="51"/>
      <c r="O8" s="52">
        <v>0</v>
      </c>
      <c r="P8" s="52">
        <v>2</v>
      </c>
      <c r="Q8" s="52">
        <v>2</v>
      </c>
      <c r="R8" s="52">
        <v>0</v>
      </c>
      <c r="S8" s="52">
        <v>10</v>
      </c>
      <c r="T8" s="52">
        <v>0</v>
      </c>
      <c r="U8" s="52">
        <v>1</v>
      </c>
      <c r="V8" s="52">
        <v>0</v>
      </c>
      <c r="W8" s="52">
        <v>15</v>
      </c>
      <c r="X8" s="52">
        <v>10</v>
      </c>
      <c r="Y8" s="52">
        <v>20</v>
      </c>
      <c r="Z8" s="13">
        <v>11</v>
      </c>
    </row>
    <row r="9" spans="2:26" ht="14.25">
      <c r="B9" s="37" t="s">
        <v>75</v>
      </c>
      <c r="C9" s="37">
        <v>31</v>
      </c>
      <c r="D9" s="49">
        <v>2785.04</v>
      </c>
      <c r="E9" s="50">
        <f>D9/C9</f>
        <v>89.84</v>
      </c>
      <c r="F9" s="50">
        <v>811.2</v>
      </c>
      <c r="G9" s="50">
        <v>465.98</v>
      </c>
      <c r="H9" s="50">
        <v>380.13</v>
      </c>
      <c r="I9" s="50">
        <v>679.08</v>
      </c>
      <c r="J9" s="50">
        <v>238.8</v>
      </c>
      <c r="K9" s="50">
        <v>209.85</v>
      </c>
      <c r="L9" s="50"/>
      <c r="M9" s="50"/>
      <c r="N9" s="51"/>
      <c r="O9" s="52">
        <v>0</v>
      </c>
      <c r="P9" s="52">
        <v>2</v>
      </c>
      <c r="Q9" s="52">
        <v>1</v>
      </c>
      <c r="R9" s="52"/>
      <c r="S9" s="52">
        <v>25</v>
      </c>
      <c r="T9" s="52"/>
      <c r="U9" s="52">
        <v>3</v>
      </c>
      <c r="V9" s="52">
        <v>0</v>
      </c>
      <c r="W9" s="52">
        <v>0</v>
      </c>
      <c r="X9" s="52">
        <v>26</v>
      </c>
      <c r="Y9" s="52">
        <v>5</v>
      </c>
      <c r="Z9" s="13">
        <v>1</v>
      </c>
    </row>
    <row r="10" spans="2:26" ht="12.75">
      <c r="B10" s="37" t="s">
        <v>76</v>
      </c>
      <c r="C10" s="37">
        <v>30</v>
      </c>
      <c r="D10" s="49">
        <v>2728.36</v>
      </c>
      <c r="E10" s="50">
        <f>D10/C10</f>
        <v>90.94533333333334</v>
      </c>
      <c r="F10" s="50">
        <v>501.2</v>
      </c>
      <c r="G10" s="50">
        <v>466.75</v>
      </c>
      <c r="H10" s="50">
        <v>486.7</v>
      </c>
      <c r="I10" s="50">
        <v>907.72</v>
      </c>
      <c r="J10" s="50">
        <v>330.09</v>
      </c>
      <c r="K10" s="50">
        <v>35.91</v>
      </c>
      <c r="L10" s="50"/>
      <c r="M10" s="50"/>
      <c r="N10" s="51"/>
      <c r="O10" s="52">
        <v>0</v>
      </c>
      <c r="P10" s="52">
        <v>2</v>
      </c>
      <c r="Q10" s="52">
        <v>0</v>
      </c>
      <c r="R10" s="52">
        <v>0</v>
      </c>
      <c r="S10" s="52">
        <v>26</v>
      </c>
      <c r="T10" s="52">
        <v>0</v>
      </c>
      <c r="U10" s="52">
        <v>2</v>
      </c>
      <c r="V10" s="52">
        <v>0</v>
      </c>
      <c r="W10" s="52">
        <v>0</v>
      </c>
      <c r="X10" s="52">
        <v>15</v>
      </c>
      <c r="Y10" s="52">
        <v>15</v>
      </c>
      <c r="Z10" s="13">
        <v>4</v>
      </c>
    </row>
    <row r="11" spans="2:26" ht="14.25">
      <c r="B11" s="37" t="s">
        <v>77</v>
      </c>
      <c r="C11" s="37">
        <v>31</v>
      </c>
      <c r="D11" s="49">
        <v>2487.539</v>
      </c>
      <c r="E11" s="50">
        <f>D11/C11</f>
        <v>80.2431935483871</v>
      </c>
      <c r="F11" s="50">
        <v>607.5</v>
      </c>
      <c r="G11" s="50">
        <v>430.98</v>
      </c>
      <c r="H11" s="50">
        <v>1001.35</v>
      </c>
      <c r="I11" s="50">
        <v>88.8</v>
      </c>
      <c r="J11" s="50">
        <v>171.03</v>
      </c>
      <c r="K11" s="50">
        <v>187.89</v>
      </c>
      <c r="L11" s="50"/>
      <c r="M11" s="50"/>
      <c r="N11" s="51"/>
      <c r="O11" s="52">
        <v>0</v>
      </c>
      <c r="P11" s="52">
        <v>0</v>
      </c>
      <c r="Q11" s="52">
        <v>0</v>
      </c>
      <c r="R11" s="52">
        <v>0</v>
      </c>
      <c r="S11" s="52">
        <v>22</v>
      </c>
      <c r="T11" s="52">
        <v>0</v>
      </c>
      <c r="U11" s="52">
        <v>9</v>
      </c>
      <c r="V11" s="52">
        <v>0</v>
      </c>
      <c r="W11" s="52">
        <v>0</v>
      </c>
      <c r="X11" s="52">
        <v>16</v>
      </c>
      <c r="Y11" s="52">
        <v>15</v>
      </c>
      <c r="Z11" s="13">
        <v>0</v>
      </c>
    </row>
    <row r="12" spans="2:26" ht="14.25">
      <c r="B12" s="37" t="s">
        <v>78</v>
      </c>
      <c r="C12" s="37">
        <v>31</v>
      </c>
      <c r="D12" s="49">
        <v>2808.9948</v>
      </c>
      <c r="E12" s="50">
        <f>D12/C12</f>
        <v>90.61273548387096</v>
      </c>
      <c r="F12" s="50">
        <v>287.28</v>
      </c>
      <c r="G12" s="50">
        <v>942.7668</v>
      </c>
      <c r="H12" s="50">
        <v>217.843</v>
      </c>
      <c r="I12" s="50">
        <v>83.68</v>
      </c>
      <c r="J12" s="50">
        <v>156.76</v>
      </c>
      <c r="K12" s="50">
        <v>26.265</v>
      </c>
      <c r="L12" s="50"/>
      <c r="M12" s="50">
        <v>1094.4</v>
      </c>
      <c r="N12" s="51"/>
      <c r="O12" s="52">
        <v>0</v>
      </c>
      <c r="P12" s="52">
        <v>0</v>
      </c>
      <c r="Q12" s="52">
        <v>0</v>
      </c>
      <c r="R12" s="52">
        <v>3</v>
      </c>
      <c r="S12" s="52">
        <v>28</v>
      </c>
      <c r="T12" s="52">
        <v>0</v>
      </c>
      <c r="U12" s="52">
        <v>0</v>
      </c>
      <c r="V12" s="52">
        <v>0</v>
      </c>
      <c r="W12" s="52">
        <v>0</v>
      </c>
      <c r="X12" s="52">
        <v>17</v>
      </c>
      <c r="Y12" s="52">
        <v>14</v>
      </c>
      <c r="Z12" s="13">
        <v>7</v>
      </c>
    </row>
    <row r="13" spans="2:26" ht="14.25">
      <c r="B13" s="37" t="s">
        <v>79</v>
      </c>
      <c r="C13" s="37">
        <v>30</v>
      </c>
      <c r="D13" s="49">
        <v>1965.57</v>
      </c>
      <c r="E13" s="50">
        <f>D13/C13</f>
        <v>65.51899999999999</v>
      </c>
      <c r="F13" s="50">
        <v>477.67</v>
      </c>
      <c r="G13" s="50">
        <v>506.71</v>
      </c>
      <c r="H13" s="50">
        <v>412.65</v>
      </c>
      <c r="I13" s="50">
        <v>123.48</v>
      </c>
      <c r="J13" s="50">
        <v>279.53</v>
      </c>
      <c r="K13" s="50">
        <v>165.53</v>
      </c>
      <c r="L13" s="50"/>
      <c r="M13" s="50"/>
      <c r="N13" s="51"/>
      <c r="O13" s="52">
        <v>0</v>
      </c>
      <c r="P13" s="52">
        <v>0</v>
      </c>
      <c r="Q13" s="52">
        <v>0</v>
      </c>
      <c r="R13" s="52">
        <v>0</v>
      </c>
      <c r="S13" s="52">
        <v>29</v>
      </c>
      <c r="T13" s="52">
        <v>0</v>
      </c>
      <c r="U13" s="52">
        <v>1</v>
      </c>
      <c r="V13" s="52">
        <v>0</v>
      </c>
      <c r="W13" s="52">
        <v>0</v>
      </c>
      <c r="X13" s="52">
        <v>12</v>
      </c>
      <c r="Y13" s="52">
        <v>18</v>
      </c>
      <c r="Z13" s="13">
        <v>1</v>
      </c>
    </row>
    <row r="14" spans="2:26" ht="12.75">
      <c r="B14" s="37" t="s">
        <v>80</v>
      </c>
      <c r="C14" s="37">
        <v>31</v>
      </c>
      <c r="D14" s="49">
        <v>2330.09</v>
      </c>
      <c r="E14" s="50">
        <f>D14/C14</f>
        <v>75.1641935483871</v>
      </c>
      <c r="F14" s="50">
        <v>607.26</v>
      </c>
      <c r="G14" s="50">
        <v>568.9</v>
      </c>
      <c r="H14" s="50">
        <v>608.13</v>
      </c>
      <c r="I14" s="50">
        <v>97.86</v>
      </c>
      <c r="J14" s="50">
        <v>263.7</v>
      </c>
      <c r="K14" s="50">
        <v>11.95</v>
      </c>
      <c r="L14" s="50"/>
      <c r="M14" s="50">
        <v>172.29</v>
      </c>
      <c r="N14" s="51"/>
      <c r="O14" s="52">
        <v>0</v>
      </c>
      <c r="P14" s="52">
        <v>1</v>
      </c>
      <c r="Q14" s="52">
        <v>0</v>
      </c>
      <c r="R14" s="52">
        <v>0</v>
      </c>
      <c r="S14" s="52">
        <v>28</v>
      </c>
      <c r="T14" s="52">
        <v>0</v>
      </c>
      <c r="U14" s="52">
        <v>2</v>
      </c>
      <c r="V14" s="52">
        <v>0</v>
      </c>
      <c r="W14" s="52">
        <v>0</v>
      </c>
      <c r="X14" s="52">
        <v>14</v>
      </c>
      <c r="Y14" s="52">
        <v>17</v>
      </c>
      <c r="Z14" s="13">
        <v>0</v>
      </c>
    </row>
    <row r="15" spans="2:26" ht="12.75">
      <c r="B15" s="37" t="s">
        <v>81</v>
      </c>
      <c r="C15" s="37">
        <v>30</v>
      </c>
      <c r="D15" s="49">
        <v>2261.64</v>
      </c>
      <c r="E15" s="50">
        <f>D15/C15</f>
        <v>75.38799999999999</v>
      </c>
      <c r="F15" s="50">
        <v>825.56889523988</v>
      </c>
      <c r="G15" s="50">
        <v>533.29</v>
      </c>
      <c r="H15" s="50">
        <v>446.297034295352</v>
      </c>
      <c r="I15" s="50">
        <v>189.18</v>
      </c>
      <c r="J15" s="50">
        <v>245.78</v>
      </c>
      <c r="K15" s="50">
        <v>14.36</v>
      </c>
      <c r="L15" s="50"/>
      <c r="M15" s="50">
        <v>7.17</v>
      </c>
      <c r="N15" s="51"/>
      <c r="O15" s="52">
        <v>0</v>
      </c>
      <c r="P15" s="52">
        <v>0</v>
      </c>
      <c r="Q15" s="52">
        <v>0</v>
      </c>
      <c r="R15" s="52">
        <v>3</v>
      </c>
      <c r="S15" s="52">
        <v>27</v>
      </c>
      <c r="T15" s="52">
        <v>0</v>
      </c>
      <c r="U15" s="52">
        <v>0</v>
      </c>
      <c r="V15" s="52">
        <v>0</v>
      </c>
      <c r="W15" s="52">
        <v>0</v>
      </c>
      <c r="X15" s="52">
        <v>26</v>
      </c>
      <c r="Y15" s="52">
        <v>4</v>
      </c>
      <c r="Z15" s="13">
        <v>0</v>
      </c>
    </row>
    <row r="16" spans="2:26" ht="12.75">
      <c r="B16" s="37" t="s">
        <v>82</v>
      </c>
      <c r="C16" s="37">
        <v>31</v>
      </c>
      <c r="D16" s="49">
        <v>1157.47</v>
      </c>
      <c r="E16" s="50">
        <f>D16/C16</f>
        <v>37.33774193548387</v>
      </c>
      <c r="F16" s="50">
        <v>258.22</v>
      </c>
      <c r="G16" s="50">
        <v>309.63</v>
      </c>
      <c r="H16" s="50">
        <v>60.77</v>
      </c>
      <c r="I16" s="50">
        <v>82.18</v>
      </c>
      <c r="J16" s="50">
        <v>369.53</v>
      </c>
      <c r="K16" s="50">
        <v>77.13</v>
      </c>
      <c r="L16" s="50"/>
      <c r="M16" s="50"/>
      <c r="N16" s="51"/>
      <c r="O16" s="52">
        <v>0</v>
      </c>
      <c r="P16" s="52">
        <v>1</v>
      </c>
      <c r="Q16" s="52">
        <v>0</v>
      </c>
      <c r="R16" s="52">
        <v>0</v>
      </c>
      <c r="S16" s="52">
        <v>30</v>
      </c>
      <c r="T16" s="52">
        <v>0</v>
      </c>
      <c r="U16" s="52">
        <v>0</v>
      </c>
      <c r="V16" s="52">
        <v>0</v>
      </c>
      <c r="W16" s="52">
        <v>0</v>
      </c>
      <c r="X16" s="52">
        <v>30</v>
      </c>
      <c r="Y16" s="52">
        <v>1</v>
      </c>
      <c r="Z16" s="13">
        <v>0</v>
      </c>
    </row>
    <row r="17" spans="2:26" ht="12.75">
      <c r="B17" s="37" t="s">
        <v>83</v>
      </c>
      <c r="C17" s="37">
        <v>31</v>
      </c>
      <c r="D17" s="49">
        <v>2461.27975047619</v>
      </c>
      <c r="E17" s="50">
        <f>D17/C17</f>
        <v>79.3961209831029</v>
      </c>
      <c r="F17" s="50">
        <v>711.21</v>
      </c>
      <c r="G17" s="50">
        <v>570.69</v>
      </c>
      <c r="H17" s="50">
        <v>440.73</v>
      </c>
      <c r="I17" s="50">
        <v>61.59</v>
      </c>
      <c r="J17" s="50">
        <v>467.04</v>
      </c>
      <c r="K17" s="50">
        <v>210.03</v>
      </c>
      <c r="L17" s="50"/>
      <c r="M17" s="50"/>
      <c r="N17" s="51"/>
      <c r="O17" s="52">
        <v>0</v>
      </c>
      <c r="P17" s="52">
        <v>2</v>
      </c>
      <c r="Q17" s="52">
        <v>1</v>
      </c>
      <c r="R17" s="52">
        <v>5</v>
      </c>
      <c r="S17" s="52">
        <v>23</v>
      </c>
      <c r="T17" s="52">
        <v>0</v>
      </c>
      <c r="U17" s="52">
        <v>0</v>
      </c>
      <c r="V17" s="52">
        <v>0</v>
      </c>
      <c r="W17" s="52">
        <v>0</v>
      </c>
      <c r="X17" s="52">
        <v>27</v>
      </c>
      <c r="Y17" s="52">
        <v>4</v>
      </c>
      <c r="Z17" s="13">
        <v>0</v>
      </c>
    </row>
    <row r="18" spans="2:26" ht="12.75">
      <c r="B18" s="37" t="s">
        <v>84</v>
      </c>
      <c r="C18" s="37">
        <v>28</v>
      </c>
      <c r="D18" s="49">
        <v>1485.6045225</v>
      </c>
      <c r="E18" s="50">
        <f>D18/C18</f>
        <v>53.057304375</v>
      </c>
      <c r="F18" s="50">
        <v>278.62</v>
      </c>
      <c r="G18" s="50">
        <v>751.97</v>
      </c>
      <c r="H18" s="50">
        <v>180.46</v>
      </c>
      <c r="I18" s="50">
        <v>0</v>
      </c>
      <c r="J18" s="50">
        <v>1.73</v>
      </c>
      <c r="K18" s="50">
        <v>272.82</v>
      </c>
      <c r="L18" s="50"/>
      <c r="M18" s="50"/>
      <c r="N18" s="51"/>
      <c r="O18" s="52">
        <v>0</v>
      </c>
      <c r="P18" s="52">
        <v>0</v>
      </c>
      <c r="Q18" s="52">
        <v>0</v>
      </c>
      <c r="R18" s="52">
        <v>28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28</v>
      </c>
      <c r="Y18" s="52">
        <v>0</v>
      </c>
      <c r="Z18" s="13">
        <v>0</v>
      </c>
    </row>
    <row r="19" spans="2:26" ht="12.75">
      <c r="B19" s="37" t="s">
        <v>85</v>
      </c>
      <c r="C19" s="37">
        <v>31</v>
      </c>
      <c r="D19" s="49">
        <v>4718.01</v>
      </c>
      <c r="E19" s="50">
        <f>D19/C19</f>
        <v>152.19387096774193</v>
      </c>
      <c r="F19" s="50">
        <v>1427.69</v>
      </c>
      <c r="G19" s="50">
        <v>771.23</v>
      </c>
      <c r="H19" s="50">
        <v>943.92</v>
      </c>
      <c r="I19" s="50">
        <v>1076.4</v>
      </c>
      <c r="J19" s="50">
        <v>319.61</v>
      </c>
      <c r="K19" s="50">
        <v>67.5</v>
      </c>
      <c r="L19" s="50"/>
      <c r="M19" s="50">
        <v>111.66</v>
      </c>
      <c r="N19" s="51"/>
      <c r="O19" s="52">
        <v>0</v>
      </c>
      <c r="P19" s="52">
        <v>4</v>
      </c>
      <c r="Q19" s="52">
        <v>0</v>
      </c>
      <c r="R19" s="52">
        <v>4</v>
      </c>
      <c r="S19" s="52">
        <v>22</v>
      </c>
      <c r="T19" s="52">
        <v>0</v>
      </c>
      <c r="U19" s="52">
        <v>1</v>
      </c>
      <c r="V19" s="52">
        <v>0</v>
      </c>
      <c r="W19" s="52">
        <v>0</v>
      </c>
      <c r="X19" s="52">
        <v>24</v>
      </c>
      <c r="Y19" s="52">
        <v>7</v>
      </c>
      <c r="Z19" s="13">
        <v>0</v>
      </c>
    </row>
    <row r="20" spans="2:26" ht="14.25">
      <c r="B20" s="37" t="s">
        <v>86</v>
      </c>
      <c r="C20" s="37">
        <v>30</v>
      </c>
      <c r="D20" s="49">
        <v>2516.84</v>
      </c>
      <c r="E20" s="50">
        <f>D20/C20</f>
        <v>83.89466666666667</v>
      </c>
      <c r="F20" s="50">
        <v>964.100170079105</v>
      </c>
      <c r="G20" s="50">
        <v>714.083853046958</v>
      </c>
      <c r="H20" s="50">
        <v>204.669267654791</v>
      </c>
      <c r="I20" s="50">
        <v>154.488</v>
      </c>
      <c r="J20" s="50">
        <v>199.58625</v>
      </c>
      <c r="K20" s="50">
        <v>139.283248504728</v>
      </c>
      <c r="L20" s="50">
        <v>140.63</v>
      </c>
      <c r="M20" s="50"/>
      <c r="N20" s="51"/>
      <c r="O20" s="52">
        <v>0</v>
      </c>
      <c r="P20" s="52">
        <v>2</v>
      </c>
      <c r="Q20" s="52">
        <v>0</v>
      </c>
      <c r="R20" s="52">
        <v>0</v>
      </c>
      <c r="S20" s="52">
        <v>9</v>
      </c>
      <c r="T20" s="52">
        <v>0</v>
      </c>
      <c r="U20" s="52">
        <v>0</v>
      </c>
      <c r="V20" s="52">
        <v>19</v>
      </c>
      <c r="W20" s="52">
        <v>0</v>
      </c>
      <c r="X20" s="52">
        <v>22</v>
      </c>
      <c r="Y20" s="52">
        <v>8</v>
      </c>
      <c r="Z20" s="13">
        <v>2</v>
      </c>
    </row>
    <row r="21" spans="2:26" ht="14.25">
      <c r="B21" s="37" t="s">
        <v>87</v>
      </c>
      <c r="C21" s="37">
        <v>31</v>
      </c>
      <c r="D21" s="49">
        <v>2245.34628</v>
      </c>
      <c r="E21" s="50">
        <f>D21/C21</f>
        <v>72.43052516129033</v>
      </c>
      <c r="F21" s="50">
        <v>616.6215</v>
      </c>
      <c r="G21" s="50">
        <v>664.1517</v>
      </c>
      <c r="H21" s="50">
        <v>179.20654</v>
      </c>
      <c r="I21" s="50">
        <v>68.29184</v>
      </c>
      <c r="J21" s="50">
        <v>639.07654</v>
      </c>
      <c r="K21" s="50">
        <v>29.91216</v>
      </c>
      <c r="L21" s="50">
        <v>48.09</v>
      </c>
      <c r="M21" s="50"/>
      <c r="N21" s="51"/>
      <c r="O21" s="52">
        <v>0</v>
      </c>
      <c r="P21" s="52">
        <v>0</v>
      </c>
      <c r="Q21" s="52">
        <v>0</v>
      </c>
      <c r="R21" s="52">
        <v>7</v>
      </c>
      <c r="S21" s="52">
        <v>23</v>
      </c>
      <c r="T21" s="52">
        <v>0</v>
      </c>
      <c r="U21" s="52">
        <v>0</v>
      </c>
      <c r="V21" s="52">
        <v>1</v>
      </c>
      <c r="W21" s="52">
        <v>0</v>
      </c>
      <c r="X21" s="52">
        <v>14</v>
      </c>
      <c r="Y21" s="52">
        <v>17</v>
      </c>
      <c r="Z21" s="13">
        <v>2</v>
      </c>
    </row>
    <row r="22" spans="2:26" ht="14.25">
      <c r="B22" s="37" t="s">
        <v>88</v>
      </c>
      <c r="C22" s="37">
        <v>30</v>
      </c>
      <c r="D22" s="49">
        <v>3243.55533</v>
      </c>
      <c r="E22" s="50">
        <f>D22/C22</f>
        <v>108.118511</v>
      </c>
      <c r="F22" s="50">
        <v>785.67411</v>
      </c>
      <c r="G22" s="50">
        <v>622.4772</v>
      </c>
      <c r="H22" s="50">
        <v>334.45738</v>
      </c>
      <c r="I22" s="50">
        <v>188.101</v>
      </c>
      <c r="J22" s="50">
        <v>443.91295</v>
      </c>
      <c r="K22" s="50">
        <v>868.93269</v>
      </c>
      <c r="L22" s="50"/>
      <c r="M22" s="50"/>
      <c r="N22" s="51"/>
      <c r="O22" s="52">
        <v>0</v>
      </c>
      <c r="P22" s="52">
        <v>0</v>
      </c>
      <c r="Q22" s="52">
        <v>0</v>
      </c>
      <c r="R22" s="52">
        <v>0</v>
      </c>
      <c r="S22" s="52">
        <v>30</v>
      </c>
      <c r="T22" s="52">
        <v>0</v>
      </c>
      <c r="U22" s="52">
        <v>0</v>
      </c>
      <c r="V22" s="52">
        <v>0</v>
      </c>
      <c r="W22" s="52">
        <v>0</v>
      </c>
      <c r="X22" s="52">
        <v>22</v>
      </c>
      <c r="Y22" s="52">
        <v>8</v>
      </c>
      <c r="Z22" s="13">
        <v>1</v>
      </c>
    </row>
    <row r="23" spans="2:26" ht="14.25">
      <c r="B23" s="37" t="s">
        <v>89</v>
      </c>
      <c r="C23" s="37">
        <v>31</v>
      </c>
      <c r="D23" s="49">
        <v>3041.91</v>
      </c>
      <c r="E23" s="50">
        <f>D23/C23</f>
        <v>98.12612903225806</v>
      </c>
      <c r="F23" s="50">
        <v>1128.73</v>
      </c>
      <c r="G23" s="50">
        <v>745.73</v>
      </c>
      <c r="H23" s="50">
        <v>377.99</v>
      </c>
      <c r="I23" s="50">
        <v>322.11</v>
      </c>
      <c r="J23" s="50">
        <v>236.74</v>
      </c>
      <c r="K23" s="50">
        <v>29.44</v>
      </c>
      <c r="L23" s="50">
        <v>194.36</v>
      </c>
      <c r="M23" s="50">
        <v>6.8</v>
      </c>
      <c r="N23" s="51"/>
      <c r="O23" s="52">
        <v>0</v>
      </c>
      <c r="P23" s="52">
        <v>9</v>
      </c>
      <c r="Q23" s="52">
        <v>0</v>
      </c>
      <c r="R23" s="52">
        <v>0</v>
      </c>
      <c r="S23" s="52">
        <v>19</v>
      </c>
      <c r="T23" s="52">
        <v>0</v>
      </c>
      <c r="U23" s="52">
        <v>0</v>
      </c>
      <c r="V23" s="52">
        <v>3</v>
      </c>
      <c r="W23" s="52">
        <v>0</v>
      </c>
      <c r="X23" s="52">
        <v>27</v>
      </c>
      <c r="Y23" s="52">
        <v>4</v>
      </c>
      <c r="Z23" s="13">
        <v>11</v>
      </c>
    </row>
    <row r="24" spans="2:26" ht="14.25">
      <c r="B24" s="37" t="s">
        <v>90</v>
      </c>
      <c r="C24" s="37">
        <v>31</v>
      </c>
      <c r="D24" s="49">
        <v>4025.22</v>
      </c>
      <c r="E24" s="50">
        <f>D24/C24</f>
        <v>129.8458064516129</v>
      </c>
      <c r="F24" s="50">
        <v>1106.28</v>
      </c>
      <c r="G24" s="50">
        <v>721.44</v>
      </c>
      <c r="H24" s="50">
        <v>294.31</v>
      </c>
      <c r="I24" s="50">
        <v>193.67</v>
      </c>
      <c r="J24" s="50">
        <v>141.68</v>
      </c>
      <c r="K24" s="50">
        <v>28.5</v>
      </c>
      <c r="L24" s="50"/>
      <c r="M24" s="50">
        <v>1539.35</v>
      </c>
      <c r="N24" s="51"/>
      <c r="O24" s="52">
        <v>0</v>
      </c>
      <c r="P24" s="52">
        <v>0</v>
      </c>
      <c r="Q24" s="52">
        <v>0</v>
      </c>
      <c r="R24" s="52">
        <v>0</v>
      </c>
      <c r="S24" s="52">
        <v>4</v>
      </c>
      <c r="T24" s="52">
        <v>0</v>
      </c>
      <c r="U24" s="52">
        <v>0</v>
      </c>
      <c r="V24" s="52">
        <v>27</v>
      </c>
      <c r="W24" s="52">
        <v>0</v>
      </c>
      <c r="X24" s="52">
        <v>27</v>
      </c>
      <c r="Y24" s="52">
        <v>4</v>
      </c>
      <c r="Z24" s="13">
        <v>3</v>
      </c>
    </row>
    <row r="25" spans="2:26" ht="14.25">
      <c r="B25" s="37" t="s">
        <v>91</v>
      </c>
      <c r="C25" s="37">
        <v>30</v>
      </c>
      <c r="D25" s="49">
        <v>2012.56</v>
      </c>
      <c r="E25" s="50">
        <f>D25/C25</f>
        <v>67.08533333333334</v>
      </c>
      <c r="F25" s="50">
        <v>684.03</v>
      </c>
      <c r="G25" s="50">
        <v>571.04</v>
      </c>
      <c r="H25" s="50">
        <v>450</v>
      </c>
      <c r="I25" s="50">
        <v>1.89</v>
      </c>
      <c r="J25" s="50">
        <v>178.24</v>
      </c>
      <c r="K25" s="50">
        <v>127.27</v>
      </c>
      <c r="L25" s="50"/>
      <c r="M25" s="50"/>
      <c r="N25" s="51"/>
      <c r="O25" s="52">
        <v>0</v>
      </c>
      <c r="P25" s="52">
        <v>0</v>
      </c>
      <c r="Q25" s="52">
        <v>0</v>
      </c>
      <c r="R25" s="52">
        <v>0</v>
      </c>
      <c r="S25" s="52">
        <v>7</v>
      </c>
      <c r="T25" s="52">
        <v>0</v>
      </c>
      <c r="U25" s="52">
        <v>0</v>
      </c>
      <c r="V25" s="52">
        <v>12</v>
      </c>
      <c r="W25" s="52">
        <v>11</v>
      </c>
      <c r="X25" s="52">
        <v>17</v>
      </c>
      <c r="Y25" s="52">
        <v>13</v>
      </c>
      <c r="Z25" s="13">
        <v>0</v>
      </c>
    </row>
    <row r="26" spans="2:26" ht="14.25">
      <c r="B26" s="37" t="s">
        <v>92</v>
      </c>
      <c r="C26" s="37">
        <v>31</v>
      </c>
      <c r="D26" s="49">
        <v>3015.84</v>
      </c>
      <c r="E26" s="50">
        <f>D26/C26</f>
        <v>97.28516129032259</v>
      </c>
      <c r="F26" s="50">
        <v>1279.66</v>
      </c>
      <c r="G26" s="50">
        <v>673.74</v>
      </c>
      <c r="H26" s="50">
        <v>463.43</v>
      </c>
      <c r="I26" s="50">
        <v>130.57</v>
      </c>
      <c r="J26" s="50">
        <v>184.51</v>
      </c>
      <c r="K26" s="50">
        <v>283.92</v>
      </c>
      <c r="L26" s="50"/>
      <c r="M26" s="50"/>
      <c r="N26" s="51"/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1</v>
      </c>
      <c r="V26" s="52">
        <v>30</v>
      </c>
      <c r="W26" s="52">
        <v>0</v>
      </c>
      <c r="X26" s="52">
        <v>30</v>
      </c>
      <c r="Y26" s="52">
        <v>1</v>
      </c>
      <c r="Z26" s="13">
        <v>0</v>
      </c>
    </row>
    <row r="27" spans="2:26" ht="12.75">
      <c r="B27" s="37" t="s">
        <v>93</v>
      </c>
      <c r="C27" s="37">
        <v>30</v>
      </c>
      <c r="D27" s="49">
        <v>5422.83</v>
      </c>
      <c r="E27" s="50">
        <f>D27/C27</f>
        <v>180.761</v>
      </c>
      <c r="F27" s="50">
        <v>1197.97</v>
      </c>
      <c r="G27" s="50">
        <v>747.07</v>
      </c>
      <c r="H27" s="50">
        <v>796.23</v>
      </c>
      <c r="I27" s="50">
        <v>40.5</v>
      </c>
      <c r="J27" s="50">
        <v>353.05</v>
      </c>
      <c r="K27" s="50">
        <v>331.26</v>
      </c>
      <c r="L27" s="50"/>
      <c r="M27" s="50">
        <v>1956.75</v>
      </c>
      <c r="N27" s="51"/>
      <c r="O27" s="52">
        <v>0</v>
      </c>
      <c r="P27" s="52">
        <v>0</v>
      </c>
      <c r="Q27" s="52">
        <v>0</v>
      </c>
      <c r="R27" s="52">
        <v>0</v>
      </c>
      <c r="S27" s="52">
        <v>12</v>
      </c>
      <c r="T27" s="52">
        <v>0</v>
      </c>
      <c r="U27" s="52">
        <v>3</v>
      </c>
      <c r="V27" s="52">
        <v>14</v>
      </c>
      <c r="W27" s="52">
        <v>1</v>
      </c>
      <c r="X27" s="52">
        <v>26</v>
      </c>
      <c r="Y27" s="52">
        <v>4</v>
      </c>
      <c r="Z27" s="13">
        <v>0</v>
      </c>
    </row>
    <row r="28" spans="2:26" ht="12.75">
      <c r="B28" s="37" t="s">
        <v>94</v>
      </c>
      <c r="C28" s="37">
        <v>31</v>
      </c>
      <c r="D28" s="49">
        <v>7423.15</v>
      </c>
      <c r="E28" s="50">
        <f>D28/C28</f>
        <v>239.4564516129032</v>
      </c>
      <c r="F28" s="50">
        <v>1303.59</v>
      </c>
      <c r="G28" s="50">
        <v>425.62</v>
      </c>
      <c r="H28" s="50">
        <v>4801.25</v>
      </c>
      <c r="I28" s="50">
        <v>190.7</v>
      </c>
      <c r="J28" s="50">
        <v>495.75</v>
      </c>
      <c r="K28" s="50">
        <v>121.48</v>
      </c>
      <c r="L28" s="50"/>
      <c r="M28" s="50">
        <v>84.76</v>
      </c>
      <c r="N28" s="51"/>
      <c r="O28" s="52">
        <v>0</v>
      </c>
      <c r="P28" s="52">
        <v>0</v>
      </c>
      <c r="Q28" s="52">
        <v>0</v>
      </c>
      <c r="R28" s="52">
        <v>0</v>
      </c>
      <c r="S28" s="52">
        <v>21</v>
      </c>
      <c r="T28" s="52">
        <v>0</v>
      </c>
      <c r="U28" s="52">
        <v>6</v>
      </c>
      <c r="V28" s="52">
        <v>3</v>
      </c>
      <c r="W28" s="52">
        <v>0</v>
      </c>
      <c r="X28" s="52">
        <v>25</v>
      </c>
      <c r="Y28" s="52">
        <v>6</v>
      </c>
      <c r="Z28" s="13">
        <v>0</v>
      </c>
    </row>
    <row r="29" spans="2:26" ht="12.75">
      <c r="B29" s="37" t="s">
        <v>95</v>
      </c>
      <c r="C29" s="37">
        <v>31</v>
      </c>
      <c r="D29" s="49">
        <v>3205</v>
      </c>
      <c r="E29" s="50">
        <f>D29/C29</f>
        <v>103.38709677419355</v>
      </c>
      <c r="F29" s="50">
        <v>1250.27</v>
      </c>
      <c r="G29" s="50">
        <v>412.52</v>
      </c>
      <c r="H29" s="50">
        <v>1088.26</v>
      </c>
      <c r="I29" s="50">
        <v>28.25</v>
      </c>
      <c r="J29" s="50">
        <v>398.07</v>
      </c>
      <c r="K29" s="50">
        <v>27.63</v>
      </c>
      <c r="L29" s="50"/>
      <c r="M29" s="50"/>
      <c r="N29" s="51"/>
      <c r="O29" s="52">
        <v>0</v>
      </c>
      <c r="P29" s="52">
        <v>0</v>
      </c>
      <c r="Q29" s="52">
        <v>0</v>
      </c>
      <c r="R29" s="52">
        <v>0</v>
      </c>
      <c r="S29" s="52">
        <v>21</v>
      </c>
      <c r="T29" s="52">
        <v>1</v>
      </c>
      <c r="U29" s="52">
        <v>3</v>
      </c>
      <c r="V29" s="52">
        <v>6</v>
      </c>
      <c r="W29" s="52">
        <v>0</v>
      </c>
      <c r="X29" s="52">
        <v>27</v>
      </c>
      <c r="Y29" s="52">
        <v>4</v>
      </c>
      <c r="Z29" s="13">
        <v>0</v>
      </c>
    </row>
    <row r="30" spans="2:26" ht="12.75">
      <c r="B30" s="37" t="s">
        <v>96</v>
      </c>
      <c r="C30" s="37">
        <v>28</v>
      </c>
      <c r="D30" s="49">
        <v>2518.07</v>
      </c>
      <c r="E30" s="50">
        <f>D30/C30</f>
        <v>89.93107142857143</v>
      </c>
      <c r="F30" s="50">
        <v>1193.5</v>
      </c>
      <c r="G30" s="50">
        <f>381.97</f>
        <v>381.97</v>
      </c>
      <c r="H30" s="50">
        <f>629.22</f>
        <v>629.22</v>
      </c>
      <c r="I30" s="50">
        <v>19.26</v>
      </c>
      <c r="J30" s="50">
        <v>272.59</v>
      </c>
      <c r="K30" s="50">
        <v>21.53</v>
      </c>
      <c r="L30" s="50"/>
      <c r="M30" s="50"/>
      <c r="N30" s="51"/>
      <c r="O30" s="52">
        <v>0</v>
      </c>
      <c r="P30" s="52">
        <v>0</v>
      </c>
      <c r="Q30" s="52">
        <v>0</v>
      </c>
      <c r="R30" s="52">
        <v>0</v>
      </c>
      <c r="S30" s="52">
        <v>27</v>
      </c>
      <c r="T30" s="52">
        <v>1</v>
      </c>
      <c r="U30" s="52">
        <v>0</v>
      </c>
      <c r="V30" s="52">
        <v>0</v>
      </c>
      <c r="W30" s="52">
        <v>0</v>
      </c>
      <c r="X30" s="52">
        <v>27</v>
      </c>
      <c r="Y30" s="52">
        <v>1</v>
      </c>
      <c r="Z30" s="13">
        <v>0</v>
      </c>
    </row>
    <row r="31" spans="2:26" ht="12.75">
      <c r="B31" s="37" t="s">
        <v>97</v>
      </c>
      <c r="C31" s="37">
        <v>31</v>
      </c>
      <c r="D31" s="49">
        <v>3148.31</v>
      </c>
      <c r="E31" s="50">
        <f>D31/C31</f>
        <v>101.5583870967742</v>
      </c>
      <c r="F31" s="50">
        <v>1323.48</v>
      </c>
      <c r="G31" s="50">
        <v>472.77</v>
      </c>
      <c r="H31" s="50">
        <v>741.41</v>
      </c>
      <c r="I31" s="50">
        <v>97.94</v>
      </c>
      <c r="J31" s="50">
        <v>388.43</v>
      </c>
      <c r="K31" s="50">
        <v>28.01</v>
      </c>
      <c r="L31" s="50">
        <v>96.27</v>
      </c>
      <c r="M31" s="50"/>
      <c r="N31" s="51"/>
      <c r="O31" s="52">
        <v>0</v>
      </c>
      <c r="P31" s="52">
        <v>0</v>
      </c>
      <c r="Q31" s="52">
        <v>0</v>
      </c>
      <c r="R31" s="52">
        <v>0</v>
      </c>
      <c r="S31" s="52">
        <v>26</v>
      </c>
      <c r="T31" s="52">
        <v>0</v>
      </c>
      <c r="U31" s="52">
        <v>1</v>
      </c>
      <c r="V31" s="52">
        <v>4</v>
      </c>
      <c r="W31" s="52">
        <v>0</v>
      </c>
      <c r="X31" s="52">
        <v>30</v>
      </c>
      <c r="Y31" s="52">
        <v>1</v>
      </c>
      <c r="Z31" s="13">
        <v>0</v>
      </c>
    </row>
    <row r="32" spans="2:26" ht="12.75">
      <c r="B32" s="37" t="s">
        <v>98</v>
      </c>
      <c r="C32" s="37">
        <v>30</v>
      </c>
      <c r="D32" s="49">
        <v>3137.61</v>
      </c>
      <c r="E32" s="50">
        <f>D32/C32</f>
        <v>104.587</v>
      </c>
      <c r="F32" s="50">
        <v>1148.44</v>
      </c>
      <c r="G32" s="50">
        <v>451.29</v>
      </c>
      <c r="H32" s="50">
        <v>733.79</v>
      </c>
      <c r="I32" s="50">
        <v>5.36</v>
      </c>
      <c r="J32" s="50">
        <v>287.63</v>
      </c>
      <c r="K32" s="50">
        <v>131.25</v>
      </c>
      <c r="L32" s="50">
        <v>245</v>
      </c>
      <c r="M32" s="50">
        <v>134.85</v>
      </c>
      <c r="N32" s="51"/>
      <c r="O32" s="52">
        <v>0</v>
      </c>
      <c r="P32" s="52">
        <v>0</v>
      </c>
      <c r="Q32" s="52">
        <v>0</v>
      </c>
      <c r="R32" s="52">
        <v>0</v>
      </c>
      <c r="S32" s="52">
        <v>25</v>
      </c>
      <c r="T32" s="52">
        <v>2</v>
      </c>
      <c r="U32" s="52">
        <v>1</v>
      </c>
      <c r="V32" s="52">
        <v>2</v>
      </c>
      <c r="W32" s="52">
        <v>0</v>
      </c>
      <c r="X32" s="52">
        <v>27</v>
      </c>
      <c r="Y32" s="52">
        <v>3</v>
      </c>
      <c r="Z32" s="13">
        <v>0</v>
      </c>
    </row>
    <row r="33" spans="2:26" ht="12.75">
      <c r="B33" s="37" t="s">
        <v>99</v>
      </c>
      <c r="C33" s="37">
        <v>31</v>
      </c>
      <c r="D33" s="49">
        <v>3642.75</v>
      </c>
      <c r="E33" s="50">
        <f>D33/C33</f>
        <v>117.50806451612904</v>
      </c>
      <c r="F33" s="50">
        <v>827.58</v>
      </c>
      <c r="G33" s="50">
        <v>334.02</v>
      </c>
      <c r="H33" s="50">
        <v>705.64</v>
      </c>
      <c r="I33" s="50">
        <v>889.76</v>
      </c>
      <c r="J33" s="50">
        <v>621.76</v>
      </c>
      <c r="K33" s="50">
        <v>73.7</v>
      </c>
      <c r="L33" s="50">
        <v>190.28</v>
      </c>
      <c r="M33" s="50"/>
      <c r="N33" s="51"/>
      <c r="O33" s="52">
        <v>0</v>
      </c>
      <c r="P33" s="52">
        <v>0</v>
      </c>
      <c r="Q33" s="52">
        <v>0</v>
      </c>
      <c r="R33" s="52">
        <v>0</v>
      </c>
      <c r="S33" s="52">
        <v>27</v>
      </c>
      <c r="T33" s="52">
        <v>0</v>
      </c>
      <c r="U33" s="52">
        <v>4</v>
      </c>
      <c r="V33" s="52">
        <v>0</v>
      </c>
      <c r="W33" s="52">
        <v>0</v>
      </c>
      <c r="X33" s="52">
        <v>27</v>
      </c>
      <c r="Y33" s="52">
        <v>4</v>
      </c>
      <c r="Z33" s="13">
        <v>0</v>
      </c>
    </row>
    <row r="34" spans="2:26" ht="12.75">
      <c r="B34" s="37" t="s">
        <v>100</v>
      </c>
      <c r="C34" s="37">
        <v>30</v>
      </c>
      <c r="D34" s="49">
        <v>3583.35</v>
      </c>
      <c r="E34" s="50">
        <f>D34/C34</f>
        <v>119.445</v>
      </c>
      <c r="F34" s="50">
        <v>807.01</v>
      </c>
      <c r="G34" s="50">
        <v>442.67</v>
      </c>
      <c r="H34" s="50">
        <v>1122.05</v>
      </c>
      <c r="I34" s="50">
        <v>83.6</v>
      </c>
      <c r="J34" s="50">
        <v>834.47</v>
      </c>
      <c r="K34" s="50">
        <v>65.55</v>
      </c>
      <c r="L34" s="50">
        <v>228</v>
      </c>
      <c r="M34" s="50"/>
      <c r="N34" s="51"/>
      <c r="O34" s="52">
        <v>0</v>
      </c>
      <c r="P34" s="52">
        <v>0</v>
      </c>
      <c r="Q34" s="52">
        <v>0</v>
      </c>
      <c r="R34" s="52">
        <v>0</v>
      </c>
      <c r="S34" s="52">
        <v>29</v>
      </c>
      <c r="T34" s="52">
        <v>1</v>
      </c>
      <c r="U34" s="52">
        <v>0</v>
      </c>
      <c r="V34" s="52">
        <v>0</v>
      </c>
      <c r="W34" s="52">
        <v>0</v>
      </c>
      <c r="X34" s="52">
        <v>29</v>
      </c>
      <c r="Y34" s="52">
        <v>1</v>
      </c>
      <c r="Z34" s="13">
        <v>0</v>
      </c>
    </row>
    <row r="35" spans="2:26" ht="12.75">
      <c r="B35" s="37" t="s">
        <v>101</v>
      </c>
      <c r="C35" s="37">
        <v>31</v>
      </c>
      <c r="D35" s="49">
        <v>2732.95</v>
      </c>
      <c r="E35" s="50">
        <f>D35/C35</f>
        <v>88.15967741935484</v>
      </c>
      <c r="F35" s="50">
        <v>876.33</v>
      </c>
      <c r="G35" s="50">
        <v>504.21</v>
      </c>
      <c r="H35" s="50">
        <v>312.96</v>
      </c>
      <c r="I35" s="50">
        <v>326.16</v>
      </c>
      <c r="J35" s="50">
        <v>671.79</v>
      </c>
      <c r="K35" s="50">
        <v>41.5</v>
      </c>
      <c r="L35" s="50"/>
      <c r="M35" s="50"/>
      <c r="N35" s="51"/>
      <c r="O35" s="52">
        <v>0</v>
      </c>
      <c r="P35" s="52">
        <v>0</v>
      </c>
      <c r="Q35" s="52">
        <v>0</v>
      </c>
      <c r="R35" s="52">
        <v>0</v>
      </c>
      <c r="S35" s="52">
        <v>30</v>
      </c>
      <c r="T35" s="52">
        <v>0</v>
      </c>
      <c r="U35" s="52">
        <v>1</v>
      </c>
      <c r="V35" s="52">
        <v>0</v>
      </c>
      <c r="W35" s="52">
        <v>0</v>
      </c>
      <c r="X35" s="52">
        <v>30</v>
      </c>
      <c r="Y35" s="52">
        <v>1</v>
      </c>
      <c r="Z35" s="13">
        <v>0</v>
      </c>
    </row>
    <row r="36" spans="2:26" ht="12.75">
      <c r="B36" s="37" t="s">
        <v>102</v>
      </c>
      <c r="C36" s="37">
        <v>31</v>
      </c>
      <c r="D36" s="49">
        <v>3484.53871356784</v>
      </c>
      <c r="E36" s="50">
        <f>D36/C36</f>
        <v>112.40447463122065</v>
      </c>
      <c r="F36" s="50">
        <v>1164.53415075377</v>
      </c>
      <c r="G36" s="50">
        <v>672.779445226131</v>
      </c>
      <c r="H36" s="50">
        <v>458.812703517588</v>
      </c>
      <c r="I36" s="50">
        <v>12.5017085427136</v>
      </c>
      <c r="J36" s="50">
        <v>555.450910552764</v>
      </c>
      <c r="K36" s="50">
        <v>620.459794974874</v>
      </c>
      <c r="L36" s="50"/>
      <c r="M36" s="50"/>
      <c r="N36" s="51"/>
      <c r="O36" s="52">
        <v>0</v>
      </c>
      <c r="P36" s="52">
        <v>0</v>
      </c>
      <c r="Q36" s="52">
        <v>0</v>
      </c>
      <c r="R36" s="52">
        <v>0</v>
      </c>
      <c r="S36" s="52">
        <v>28</v>
      </c>
      <c r="T36" s="52">
        <v>0</v>
      </c>
      <c r="U36" s="52">
        <v>0</v>
      </c>
      <c r="V36" s="52">
        <v>3</v>
      </c>
      <c r="W36" s="52">
        <v>0</v>
      </c>
      <c r="X36" s="52">
        <v>31</v>
      </c>
      <c r="Y36" s="52">
        <v>0</v>
      </c>
      <c r="Z36" s="13">
        <v>0</v>
      </c>
    </row>
    <row r="37" spans="2:26" ht="12.75">
      <c r="B37" s="37" t="s">
        <v>103</v>
      </c>
      <c r="C37" s="37">
        <v>30</v>
      </c>
      <c r="D37" s="49">
        <v>3049.28353467337</v>
      </c>
      <c r="E37" s="50">
        <f>D37/C37</f>
        <v>101.64278448911233</v>
      </c>
      <c r="F37" s="50">
        <v>1167.13467369575</v>
      </c>
      <c r="G37" s="50">
        <v>308.160343828232</v>
      </c>
      <c r="H37" s="50">
        <v>459.657298967566</v>
      </c>
      <c r="I37" s="50">
        <v>53.0299636363638</v>
      </c>
      <c r="J37" s="50">
        <v>560.659664102331</v>
      </c>
      <c r="K37" s="50">
        <v>60.6415904431249</v>
      </c>
      <c r="L37" s="50">
        <v>440</v>
      </c>
      <c r="M37" s="50"/>
      <c r="N37" s="51"/>
      <c r="O37" s="52">
        <v>0</v>
      </c>
      <c r="P37" s="52">
        <v>0</v>
      </c>
      <c r="Q37" s="52">
        <v>0</v>
      </c>
      <c r="R37" s="52">
        <v>0</v>
      </c>
      <c r="S37" s="52">
        <v>28</v>
      </c>
      <c r="T37" s="52">
        <v>0</v>
      </c>
      <c r="U37" s="52">
        <v>1</v>
      </c>
      <c r="V37" s="52">
        <v>1</v>
      </c>
      <c r="W37" s="52">
        <v>0</v>
      </c>
      <c r="X37" s="52">
        <v>26</v>
      </c>
      <c r="Y37" s="52">
        <v>4</v>
      </c>
      <c r="Z37" s="13">
        <v>4</v>
      </c>
    </row>
    <row r="38" spans="2:26" ht="12.75">
      <c r="B38" s="37" t="s">
        <v>104</v>
      </c>
      <c r="C38" s="37">
        <v>31</v>
      </c>
      <c r="D38" s="49">
        <v>2839.92</v>
      </c>
      <c r="E38" s="50">
        <f>D38/C38</f>
        <v>91.61032258064516</v>
      </c>
      <c r="F38" s="50">
        <v>1017.62</v>
      </c>
      <c r="G38" s="50">
        <v>483.07</v>
      </c>
      <c r="H38" s="50">
        <v>385.34</v>
      </c>
      <c r="I38" s="50">
        <v>266.03</v>
      </c>
      <c r="J38" s="50">
        <v>625.04</v>
      </c>
      <c r="K38" s="50">
        <v>62.81</v>
      </c>
      <c r="L38" s="50"/>
      <c r="M38" s="50"/>
      <c r="N38" s="51"/>
      <c r="O38" s="52">
        <v>0</v>
      </c>
      <c r="P38" s="52">
        <v>0</v>
      </c>
      <c r="Q38" s="52">
        <v>0</v>
      </c>
      <c r="R38" s="52">
        <v>0</v>
      </c>
      <c r="S38" s="52">
        <v>29</v>
      </c>
      <c r="T38" s="52">
        <v>0</v>
      </c>
      <c r="U38" s="52">
        <v>2</v>
      </c>
      <c r="V38" s="52">
        <v>0</v>
      </c>
      <c r="W38" s="52">
        <v>0</v>
      </c>
      <c r="X38" s="52">
        <v>23</v>
      </c>
      <c r="Y38" s="52">
        <v>8</v>
      </c>
      <c r="Z38" s="13">
        <v>0</v>
      </c>
    </row>
    <row r="39" spans="2:25" ht="12.75">
      <c r="B39" s="37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4:25" ht="12.75">
      <c r="D40" s="49"/>
      <c r="E40" s="50"/>
      <c r="F40" s="50"/>
      <c r="G40" s="50"/>
      <c r="H40" s="50"/>
      <c r="I40" s="50"/>
      <c r="J40" s="50"/>
      <c r="K40" s="50"/>
      <c r="L40" s="50"/>
      <c r="M40" s="50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5:25" ht="12.75">
      <c r="E41" s="50"/>
      <c r="F41" s="50"/>
      <c r="G41" s="50"/>
      <c r="H41" s="50"/>
      <c r="I41" s="50"/>
      <c r="J41" s="50"/>
      <c r="K41" s="50"/>
      <c r="L41" s="50"/>
      <c r="M41" s="50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2:27" s="1" customFormat="1" ht="12.75">
      <c r="B42" s="37" t="s">
        <v>105</v>
      </c>
      <c r="C42" s="37">
        <f>SUM(C2:C41)</f>
        <v>1129</v>
      </c>
      <c r="D42" s="49">
        <f>SUM(D2:D41)</f>
        <v>107955.16193121742</v>
      </c>
      <c r="E42" s="50">
        <f>D42/C42</f>
        <v>95.62016114368238</v>
      </c>
      <c r="F42" s="50">
        <f>SUM(F2:F41)</f>
        <v>30624.23349976851</v>
      </c>
      <c r="G42" s="50">
        <f>SUM(G2:G41)</f>
        <v>21676.156192101316</v>
      </c>
      <c r="H42" s="50">
        <f>SUM(H2:H41)</f>
        <v>22990.453224435296</v>
      </c>
      <c r="I42" s="50">
        <f>SUM(I2:I41)</f>
        <v>9145.102512179077</v>
      </c>
      <c r="J42" s="50">
        <f>SUM(J2:J41)</f>
        <v>12010.996314655093</v>
      </c>
      <c r="K42" s="50">
        <f>SUM(K2:K41)</f>
        <v>4817.484483922728</v>
      </c>
      <c r="L42" s="50">
        <f>SUM(L2:L41)</f>
        <v>1582.63</v>
      </c>
      <c r="M42" s="50">
        <f>SUM(M2:M41)</f>
        <v>5108.030000000001</v>
      </c>
      <c r="N42" s="51">
        <f>SUM(N2:N41)</f>
        <v>0</v>
      </c>
      <c r="O42" s="52">
        <f>SUM(O2:O41)</f>
        <v>25</v>
      </c>
      <c r="P42" s="52">
        <f>SUM(P2:P41)</f>
        <v>70</v>
      </c>
      <c r="Q42" s="52">
        <f>SUM(Q5:Q41)</f>
        <v>15</v>
      </c>
      <c r="R42" s="52">
        <f>SUM(R2:R41)</f>
        <v>99</v>
      </c>
      <c r="S42" s="52">
        <f>SUM(S2:S41)</f>
        <v>688</v>
      </c>
      <c r="T42" s="52">
        <f>SUM(T2:T41)</f>
        <v>6</v>
      </c>
      <c r="U42" s="52">
        <f>SUM(U2:U41)</f>
        <v>46</v>
      </c>
      <c r="V42" s="52">
        <f>SUM(V2:V41)</f>
        <v>125</v>
      </c>
      <c r="W42" s="52">
        <f>SUM(W2:W41)</f>
        <v>53</v>
      </c>
      <c r="X42" s="52">
        <f>SUM(X2:X41)</f>
        <v>789</v>
      </c>
      <c r="Y42" s="52">
        <f>SUM(Y2:Y41)</f>
        <v>340</v>
      </c>
      <c r="Z42" s="13">
        <f>SUM(Z2:Z41)</f>
        <v>140</v>
      </c>
      <c r="AA42" s="32"/>
    </row>
    <row r="43" spans="2:27" s="1" customFormat="1" ht="12.75">
      <c r="B43" s="37" t="s">
        <v>106</v>
      </c>
      <c r="C43" s="37"/>
      <c r="D43" s="49">
        <f>D42/$C$42</f>
        <v>95.62016114368238</v>
      </c>
      <c r="E43" s="49"/>
      <c r="F43" s="50">
        <f>F42/$C$42</f>
        <v>27.125096102540752</v>
      </c>
      <c r="G43" s="50">
        <f>G42/$C$42</f>
        <v>19.199429753854133</v>
      </c>
      <c r="H43" s="50">
        <f>H42/$C$42</f>
        <v>20.36355467177617</v>
      </c>
      <c r="I43" s="50">
        <f>I42/$C$42</f>
        <v>8.100179373054985</v>
      </c>
      <c r="J43" s="50">
        <f>J42/$C$42</f>
        <v>10.63861498197971</v>
      </c>
      <c r="K43" s="50">
        <f>K42/$C$42</f>
        <v>4.267036743952815</v>
      </c>
      <c r="L43" s="50">
        <f>L42/$C$42</f>
        <v>1.4017980513728965</v>
      </c>
      <c r="M43" s="50">
        <f>M42/$C$42</f>
        <v>4.5243844109831715</v>
      </c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13"/>
      <c r="AA43" s="32"/>
    </row>
    <row r="44" spans="2:27" s="1" customFormat="1" ht="12.75">
      <c r="B44" s="37" t="s">
        <v>107</v>
      </c>
      <c r="C44" s="37">
        <f>COUNTA(B2:B41)</f>
        <v>37</v>
      </c>
      <c r="D44" s="49">
        <f>D42/$C$44</f>
        <v>2917.7070792220925</v>
      </c>
      <c r="E44" s="49"/>
      <c r="F44" s="50">
        <f>F42/$C$44</f>
        <v>827.68198648023</v>
      </c>
      <c r="G44" s="50">
        <f>G42/$C$44</f>
        <v>585.8420592459815</v>
      </c>
      <c r="H44" s="50">
        <f>H42/$C$44</f>
        <v>621.3636006604135</v>
      </c>
      <c r="I44" s="50">
        <f>I42/$C$44</f>
        <v>247.16493276159667</v>
      </c>
      <c r="J44" s="50">
        <f>J42/$C$44</f>
        <v>324.6215220177052</v>
      </c>
      <c r="K44" s="50">
        <f>K42/$C$44</f>
        <v>130.20228334926293</v>
      </c>
      <c r="L44" s="50">
        <f>L42/$C$44</f>
        <v>42.773783783783784</v>
      </c>
      <c r="M44" s="50">
        <f>M42/$C$44</f>
        <v>138.0548648648649</v>
      </c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13"/>
      <c r="AA44" s="32"/>
    </row>
    <row r="45" spans="15:25" ht="12.75"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9">
      <selection activeCell="D25" sqref="D25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43101</v>
      </c>
      <c r="C2" s="32">
        <f>B2*AD2</f>
        <v>0</v>
      </c>
      <c r="D2" s="32">
        <v>100</v>
      </c>
      <c r="E2" s="32">
        <f>D2*AD2</f>
        <v>7.0630000000000015</v>
      </c>
      <c r="F2" s="32">
        <f>153+166</f>
        <v>319</v>
      </c>
      <c r="G2" s="32">
        <f>F2*AD2</f>
        <v>22.530970000000003</v>
      </c>
      <c r="I2" s="32">
        <f>H2*AD2</f>
        <v>0</v>
      </c>
      <c r="K2" s="32">
        <f>J2*AD2</f>
        <v>0</v>
      </c>
      <c r="L2" s="32">
        <v>893.33</v>
      </c>
      <c r="M2" s="32">
        <f>L2*AD2</f>
        <v>63.09589790000001</v>
      </c>
      <c r="O2" s="32">
        <f>N2*AD2</f>
        <v>0</v>
      </c>
      <c r="Q2" s="32">
        <f>P2*AD2</f>
        <v>0</v>
      </c>
      <c r="T2" s="32" t="s">
        <v>137</v>
      </c>
      <c r="AB2" s="32" t="s">
        <v>138</v>
      </c>
      <c r="AC2" s="32">
        <f>B2+D2+F2+H2+J2+L2+N2+P2</f>
        <v>1312.33</v>
      </c>
      <c r="AD2" s="32">
        <v>0.07063000000000001</v>
      </c>
      <c r="AE2" s="53">
        <f>AC2*AD2</f>
        <v>92.68986790000001</v>
      </c>
      <c r="AG2" s="32">
        <v>17</v>
      </c>
      <c r="AI2" s="32" t="s">
        <v>139</v>
      </c>
      <c r="AJ2" s="32">
        <f>SUM($AE$2:$AE$994)</f>
        <v>3204.998777900002</v>
      </c>
      <c r="AL2" s="32" t="s">
        <v>140</v>
      </c>
      <c r="AM2" s="57">
        <f>$AJ$2/$AJ$5</f>
        <v>103.38705735161297</v>
      </c>
      <c r="AO2" s="32" t="s">
        <v>141</v>
      </c>
      <c r="AP2" s="32">
        <f>COUNTBLANK(L2:L40)-COUNTBLANK(A2:A40)</f>
        <v>4</v>
      </c>
      <c r="AQ2" s="58"/>
      <c r="AR2" s="58"/>
      <c r="AS2" s="58"/>
      <c r="AT2" s="58"/>
      <c r="AU2" s="58" t="s">
        <v>142</v>
      </c>
      <c r="AV2" s="58">
        <f>SUMIF($AG$2:$AG$44,"=17",$AE$2:$AE$44)</f>
        <v>2621.031977900001</v>
      </c>
      <c r="AW2" s="58"/>
      <c r="AX2" s="58" t="s">
        <v>143</v>
      </c>
      <c r="AY2" s="58">
        <f>SUMIF($AG$2:$AG$44,"=18",$AE$2:$AE$44)</f>
        <v>583.9668</v>
      </c>
      <c r="AZ2" s="58"/>
      <c r="BB2" s="35"/>
      <c r="BC2" s="35"/>
    </row>
    <row r="3" spans="1:55" ht="14.25">
      <c r="A3" s="56">
        <v>43102</v>
      </c>
      <c r="B3" s="32">
        <f>150+25*2+100*2+350*2</f>
        <v>1100</v>
      </c>
      <c r="C3" s="32">
        <f>B3*AD3</f>
        <v>77.69300000000001</v>
      </c>
      <c r="D3" s="32">
        <f>97+50</f>
        <v>147</v>
      </c>
      <c r="E3" s="32">
        <f>D3*AD3</f>
        <v>10.382610000000001</v>
      </c>
      <c r="F3" s="32">
        <f>158</f>
        <v>158</v>
      </c>
      <c r="G3" s="32">
        <f>F3*AD3</f>
        <v>11.159540000000002</v>
      </c>
      <c r="I3" s="32">
        <f>H3*AD3</f>
        <v>0</v>
      </c>
      <c r="K3" s="32">
        <f>J3*AD3</f>
        <v>0</v>
      </c>
      <c r="L3" s="32">
        <v>680</v>
      </c>
      <c r="M3" s="32">
        <f>L3*AD3</f>
        <v>48.028400000000005</v>
      </c>
      <c r="O3" s="32">
        <f>N3*AD3</f>
        <v>0</v>
      </c>
      <c r="Q3" s="32">
        <f>P3*AD3</f>
        <v>0</v>
      </c>
      <c r="T3" s="32" t="s">
        <v>137</v>
      </c>
      <c r="AB3" s="32" t="s">
        <v>144</v>
      </c>
      <c r="AC3" s="32">
        <f>B3+D3+F3+H3+J3+L3+N3+P3</f>
        <v>2085</v>
      </c>
      <c r="AD3" s="32">
        <v>0.07063000000000001</v>
      </c>
      <c r="AE3" s="53">
        <f>AC3*AD3</f>
        <v>147.26355000000004</v>
      </c>
      <c r="AG3" s="32">
        <v>17</v>
      </c>
      <c r="AI3" s="59"/>
      <c r="AL3" s="59"/>
      <c r="AM3" s="57"/>
      <c r="AO3" s="32" t="s">
        <v>145</v>
      </c>
      <c r="AP3" s="32">
        <f>COUNT(L2:L36)</f>
        <v>27</v>
      </c>
      <c r="AR3" s="58"/>
      <c r="AS3" s="58"/>
      <c r="AT3" s="58"/>
      <c r="AU3" s="58" t="s">
        <v>146</v>
      </c>
      <c r="AV3" s="58">
        <f>_xlfn.COUNTIFS($A$2:$A$44,"&lt;&gt;''",$AG$2:$AG$44,"=17")</f>
        <v>23</v>
      </c>
      <c r="AW3" s="58"/>
      <c r="AX3" s="58" t="s">
        <v>147</v>
      </c>
      <c r="AY3" s="58">
        <f>_xlfn.COUNTIFS($A$2:$A$44,"&lt;&gt;''",$AG$2:$AG$44,"=18")</f>
        <v>8</v>
      </c>
      <c r="AZ3" s="58"/>
      <c r="BB3" s="35"/>
      <c r="BC3" s="35"/>
    </row>
    <row r="4" spans="1:55" ht="14.25">
      <c r="A4" s="56">
        <v>43103</v>
      </c>
      <c r="C4" s="32">
        <f>B4*AD4</f>
        <v>0</v>
      </c>
      <c r="D4" s="32">
        <f>368+100</f>
        <v>468</v>
      </c>
      <c r="E4" s="32">
        <f>D4*AD4</f>
        <v>33.054840000000006</v>
      </c>
      <c r="F4" s="32">
        <f>110+85</f>
        <v>195</v>
      </c>
      <c r="G4" s="32">
        <f>F4*AD4</f>
        <v>13.772850000000002</v>
      </c>
      <c r="I4" s="32">
        <f>H4*AD4</f>
        <v>0</v>
      </c>
      <c r="K4" s="32">
        <f>J4*AD4</f>
        <v>0</v>
      </c>
      <c r="L4" s="32">
        <v>680</v>
      </c>
      <c r="M4" s="32">
        <f>L4*AD4</f>
        <v>48.028400000000005</v>
      </c>
      <c r="O4" s="32">
        <f>N4*AD4</f>
        <v>0</v>
      </c>
      <c r="Q4" s="32">
        <f>P4*AD4</f>
        <v>0</v>
      </c>
      <c r="T4" s="32" t="s">
        <v>137</v>
      </c>
      <c r="AB4" s="32" t="s">
        <v>148</v>
      </c>
      <c r="AC4" s="32">
        <f>B4+D4+F4+H4+J4+L4+N4+P4</f>
        <v>1343</v>
      </c>
      <c r="AD4" s="32">
        <v>0.07063000000000001</v>
      </c>
      <c r="AE4" s="53">
        <f>AC4*AD4</f>
        <v>94.85609000000002</v>
      </c>
      <c r="AG4" s="32">
        <v>17</v>
      </c>
      <c r="AO4" s="32" t="s">
        <v>149</v>
      </c>
      <c r="AP4" s="32">
        <f>COUNTA(W2:W49)</f>
        <v>0</v>
      </c>
      <c r="AR4" s="58"/>
      <c r="AS4" s="58"/>
      <c r="AT4" s="58"/>
      <c r="AU4" s="58" t="s">
        <v>150</v>
      </c>
      <c r="AV4" s="58">
        <f>AV2/AV3</f>
        <v>113.95791208260874</v>
      </c>
      <c r="AW4" s="58"/>
      <c r="AX4" s="58" t="s">
        <v>151</v>
      </c>
      <c r="AY4" s="58">
        <f>AY2/AY3</f>
        <v>72.99585</v>
      </c>
      <c r="AZ4" s="58"/>
      <c r="BB4" s="35"/>
      <c r="BC4" s="35"/>
    </row>
    <row r="5" spans="1:42" ht="14.25">
      <c r="A5" s="56">
        <v>43104</v>
      </c>
      <c r="B5" s="32">
        <f>190*2+30*2+153*2+30*2</f>
        <v>806</v>
      </c>
      <c r="C5" s="32">
        <f>B5*AD5</f>
        <v>56.92778000000001</v>
      </c>
      <c r="D5" s="32">
        <f>60+70</f>
        <v>130</v>
      </c>
      <c r="E5" s="32">
        <f>D5*AD5</f>
        <v>9.181900000000002</v>
      </c>
      <c r="F5" s="32">
        <f>75+60</f>
        <v>135</v>
      </c>
      <c r="G5" s="32">
        <f>F5*AD5</f>
        <v>9.535050000000002</v>
      </c>
      <c r="I5" s="32">
        <f>H5*AD5</f>
        <v>0</v>
      </c>
      <c r="K5" s="32">
        <f>J5*AD5</f>
        <v>0</v>
      </c>
      <c r="L5" s="32">
        <v>550</v>
      </c>
      <c r="M5" s="32">
        <f>L5*AD5</f>
        <v>38.846500000000006</v>
      </c>
      <c r="O5" s="32">
        <f>N5*AD5</f>
        <v>0</v>
      </c>
      <c r="Q5" s="32">
        <f>P5*AD5</f>
        <v>0</v>
      </c>
      <c r="T5" s="32" t="s">
        <v>137</v>
      </c>
      <c r="AB5" s="32" t="s">
        <v>152</v>
      </c>
      <c r="AC5" s="32">
        <f>B5+D5+F5+H5+J5+L5+N5+P5</f>
        <v>1621</v>
      </c>
      <c r="AD5" s="32">
        <v>0.07063000000000001</v>
      </c>
      <c r="AE5" s="53">
        <f>AC5*AD5</f>
        <v>114.49123000000002</v>
      </c>
      <c r="AG5" s="32">
        <v>17</v>
      </c>
      <c r="AI5" s="32" t="s">
        <v>153</v>
      </c>
      <c r="AJ5" s="32">
        <f>COUNTA(A2:A349)</f>
        <v>31</v>
      </c>
      <c r="AO5" s="32" t="s">
        <v>154</v>
      </c>
      <c r="AP5" s="32">
        <f>COUNTA(R2:R49)</f>
        <v>0</v>
      </c>
    </row>
    <row r="6" spans="1:42" ht="14.25">
      <c r="A6" s="56">
        <v>43105</v>
      </c>
      <c r="B6" s="32">
        <f>100*2+20*2+100*3+101*2</f>
        <v>742</v>
      </c>
      <c r="C6" s="32">
        <f>B6*AD6</f>
        <v>52.40746000000001</v>
      </c>
      <c r="D6" s="32">
        <f>125</f>
        <v>125</v>
      </c>
      <c r="E6" s="32">
        <f>D6*AD6</f>
        <v>8.828750000000001</v>
      </c>
      <c r="F6" s="32">
        <v>50</v>
      </c>
      <c r="G6" s="32">
        <f>F6*AD6</f>
        <v>3.5315000000000007</v>
      </c>
      <c r="I6" s="32">
        <f>H6*AD6</f>
        <v>0</v>
      </c>
      <c r="K6" s="32">
        <f>J6*AD6</f>
        <v>0</v>
      </c>
      <c r="L6" s="32">
        <v>600</v>
      </c>
      <c r="M6" s="32">
        <f>L6*AD6</f>
        <v>42.37800000000001</v>
      </c>
      <c r="O6" s="32">
        <f>N6*AD6</f>
        <v>0</v>
      </c>
      <c r="Q6" s="32">
        <f>P6*AD6</f>
        <v>0</v>
      </c>
      <c r="T6" s="32" t="s">
        <v>137</v>
      </c>
      <c r="AB6" s="32" t="s">
        <v>155</v>
      </c>
      <c r="AC6" s="32">
        <f>B6+D6+F6+H6+J6+L6+N6+P6</f>
        <v>1517</v>
      </c>
      <c r="AD6" s="32">
        <v>0.07063000000000001</v>
      </c>
      <c r="AE6" s="53">
        <f>AC6*AD6</f>
        <v>107.14571000000002</v>
      </c>
      <c r="AG6" s="32">
        <v>17</v>
      </c>
      <c r="AI6" s="59"/>
      <c r="AO6" s="32" t="s">
        <v>156</v>
      </c>
      <c r="AP6" s="32">
        <f>COUNTA(T2:T49)</f>
        <v>21</v>
      </c>
    </row>
    <row r="7" spans="1:42" ht="14.25">
      <c r="A7" s="56">
        <v>43106</v>
      </c>
      <c r="B7" s="32">
        <f>30*4</f>
        <v>120</v>
      </c>
      <c r="C7" s="32">
        <f>B7*AD7</f>
        <v>8.475600000000002</v>
      </c>
      <c r="D7" s="32">
        <f>75+50+49.5+137</f>
        <v>311.5</v>
      </c>
      <c r="E7" s="32">
        <f>D7*AD7</f>
        <v>22.001245000000004</v>
      </c>
      <c r="F7" s="32">
        <v>138</v>
      </c>
      <c r="G7" s="32">
        <f>F7*AD7</f>
        <v>9.746940000000002</v>
      </c>
      <c r="H7" s="32">
        <f>40*2</f>
        <v>80</v>
      </c>
      <c r="I7" s="32">
        <f>H7*AD7</f>
        <v>5.650400000000001</v>
      </c>
      <c r="K7" s="32">
        <f>J7*AD7</f>
        <v>0</v>
      </c>
      <c r="L7" s="32">
        <v>600</v>
      </c>
      <c r="M7" s="32">
        <f>L7*AD7</f>
        <v>42.37800000000001</v>
      </c>
      <c r="O7" s="32">
        <f>N7*AD7</f>
        <v>0</v>
      </c>
      <c r="Q7" s="32">
        <f>P7*AD7</f>
        <v>0</v>
      </c>
      <c r="T7" s="32" t="s">
        <v>137</v>
      </c>
      <c r="AB7" s="32" t="s">
        <v>157</v>
      </c>
      <c r="AC7" s="32">
        <f>B7+D7+F7+H7+J7+L7+N7+P7</f>
        <v>1249.5</v>
      </c>
      <c r="AD7" s="32">
        <v>0.07063000000000001</v>
      </c>
      <c r="AE7" s="53">
        <f>AC7*AD7</f>
        <v>88.25218500000001</v>
      </c>
      <c r="AG7" s="32">
        <v>17</v>
      </c>
      <c r="AL7" s="32" t="s">
        <v>158</v>
      </c>
      <c r="AO7" s="32" t="s">
        <v>126</v>
      </c>
      <c r="AP7" s="32">
        <f>COUNTA(U2:U49)</f>
        <v>0</v>
      </c>
    </row>
    <row r="8" spans="1:42" ht="14.25">
      <c r="A8" s="56">
        <v>43107</v>
      </c>
      <c r="B8" s="32">
        <f>130*2+400*2+25*2+50*2+7*2</f>
        <v>1224</v>
      </c>
      <c r="C8" s="32">
        <f>B8*AD8</f>
        <v>86.45112000000002</v>
      </c>
      <c r="D8" s="32">
        <f>50+20+205</f>
        <v>275</v>
      </c>
      <c r="E8" s="32">
        <f>D8*AD8</f>
        <v>19.423250000000003</v>
      </c>
      <c r="F8" s="32">
        <v>152</v>
      </c>
      <c r="G8" s="32">
        <f>F8*AD8</f>
        <v>10.735760000000003</v>
      </c>
      <c r="I8" s="32">
        <f>H8*AD8</f>
        <v>0</v>
      </c>
      <c r="K8" s="32">
        <f>J8*AD8</f>
        <v>0</v>
      </c>
      <c r="L8" s="32">
        <v>610</v>
      </c>
      <c r="M8" s="32">
        <f>L8*AD8</f>
        <v>43.084300000000006</v>
      </c>
      <c r="O8" s="32">
        <f>N8*AD8</f>
        <v>0</v>
      </c>
      <c r="Q8" s="32">
        <f>P8*AD8</f>
        <v>0</v>
      </c>
      <c r="Y8" s="32" t="s">
        <v>137</v>
      </c>
      <c r="AB8" s="32" t="s">
        <v>159</v>
      </c>
      <c r="AC8" s="32">
        <f>B8+D8+F8+H8+J8+L8+N8+P8</f>
        <v>2261</v>
      </c>
      <c r="AD8" s="32">
        <v>0.07063000000000001</v>
      </c>
      <c r="AE8" s="53">
        <f>AC8*AD8</f>
        <v>159.69443000000004</v>
      </c>
      <c r="AG8" s="32">
        <v>17</v>
      </c>
      <c r="AI8" s="32" t="s">
        <v>160</v>
      </c>
      <c r="AJ8" s="55">
        <f>SUM(M2:M994)</f>
        <v>1250.2693479</v>
      </c>
      <c r="AL8" s="32" t="s">
        <v>119</v>
      </c>
      <c r="AM8" s="55">
        <f>AJ8/$AJ$5</f>
        <v>40.331269287096774</v>
      </c>
      <c r="AO8" s="32" t="s">
        <v>161</v>
      </c>
      <c r="AP8" s="32">
        <f>COUNTA(S2:S49)</f>
        <v>0</v>
      </c>
    </row>
    <row r="9" spans="1:42" ht="14.25">
      <c r="A9" s="56">
        <v>43108</v>
      </c>
      <c r="B9" s="1"/>
      <c r="C9" s="32">
        <f>B9*AD9</f>
        <v>0</v>
      </c>
      <c r="D9" s="32">
        <f>108.5+20</f>
        <v>128.5</v>
      </c>
      <c r="E9" s="32">
        <f>D9*AD9</f>
        <v>9.075955000000002</v>
      </c>
      <c r="F9" s="32">
        <v>165</v>
      </c>
      <c r="G9" s="32">
        <f>F9*AD9</f>
        <v>11.653950000000002</v>
      </c>
      <c r="I9" s="32">
        <f>H9*AD9</f>
        <v>0</v>
      </c>
      <c r="K9" s="32">
        <f>J9*AD9</f>
        <v>0</v>
      </c>
      <c r="L9" s="32">
        <v>610</v>
      </c>
      <c r="M9" s="32">
        <f>L9*AD9</f>
        <v>43.084300000000006</v>
      </c>
      <c r="O9" s="32">
        <f>N9*AD9</f>
        <v>0</v>
      </c>
      <c r="Q9" s="32">
        <f>P9*AD9</f>
        <v>0</v>
      </c>
      <c r="Y9" s="32" t="s">
        <v>137</v>
      </c>
      <c r="AB9" s="32" t="s">
        <v>162</v>
      </c>
      <c r="AC9" s="32">
        <f>B9+D9+F9+H9+J9+L9+N9+P9</f>
        <v>903.5</v>
      </c>
      <c r="AD9" s="32">
        <v>0.07063000000000001</v>
      </c>
      <c r="AE9" s="53">
        <f>AC9*AD9</f>
        <v>63.81420500000001</v>
      </c>
      <c r="AG9" s="32">
        <v>17</v>
      </c>
      <c r="AI9" s="32" t="s">
        <v>163</v>
      </c>
      <c r="AJ9" s="55">
        <f>SUM(C2:C994)</f>
        <v>1088.26053</v>
      </c>
      <c r="AL9" s="32" t="s">
        <v>109</v>
      </c>
      <c r="AM9" s="32">
        <f>AJ9/$AJ$5</f>
        <v>35.10517838709678</v>
      </c>
      <c r="AO9" s="32" t="s">
        <v>127</v>
      </c>
      <c r="AP9" s="32">
        <f>COUNTA(V2:V50)</f>
        <v>0</v>
      </c>
    </row>
    <row r="10" spans="1:42" ht="14.25">
      <c r="A10" s="56">
        <v>43109</v>
      </c>
      <c r="B10" s="32">
        <f>20*2+20*2+30*2+55*2</f>
        <v>250</v>
      </c>
      <c r="C10" s="32">
        <f>B10*AD10</f>
        <v>17.657500000000002</v>
      </c>
      <c r="D10" s="32">
        <f>215+55+45</f>
        <v>315</v>
      </c>
      <c r="E10" s="32">
        <f>D10*AD10</f>
        <v>22.248450000000005</v>
      </c>
      <c r="G10" s="32">
        <f>F10*AD10</f>
        <v>0</v>
      </c>
      <c r="H10" s="32">
        <f>60*2+50*2</f>
        <v>220</v>
      </c>
      <c r="I10" s="32">
        <f>H10*AD10</f>
        <v>15.538600000000002</v>
      </c>
      <c r="K10" s="32">
        <f>J10*AD10</f>
        <v>0</v>
      </c>
      <c r="L10" s="32">
        <v>610</v>
      </c>
      <c r="M10" s="32">
        <f>L10*AD10</f>
        <v>43.084300000000006</v>
      </c>
      <c r="O10" s="32">
        <f>N10*AD10</f>
        <v>0</v>
      </c>
      <c r="Q10" s="32">
        <f>P10*AD10</f>
        <v>0</v>
      </c>
      <c r="Y10" s="32" t="s">
        <v>137</v>
      </c>
      <c r="AB10" s="32" t="s">
        <v>162</v>
      </c>
      <c r="AC10" s="32">
        <f>B10+D10+F10+H10+J10+L10+N10+P10</f>
        <v>1395</v>
      </c>
      <c r="AD10" s="32">
        <v>0.07063000000000001</v>
      </c>
      <c r="AE10" s="53">
        <f>AC10*AD10</f>
        <v>98.52885000000002</v>
      </c>
      <c r="AG10" s="32">
        <v>17</v>
      </c>
      <c r="AI10" s="32" t="s">
        <v>164</v>
      </c>
      <c r="AJ10" s="55">
        <f>SUM(E2:E994)</f>
        <v>412.5173450000001</v>
      </c>
      <c r="AL10" s="32" t="s">
        <v>51</v>
      </c>
      <c r="AM10" s="32">
        <f>AJ10/$AJ$5</f>
        <v>13.307011129032261</v>
      </c>
      <c r="AO10" s="32" t="s">
        <v>130</v>
      </c>
      <c r="AP10" s="32">
        <f>COUNTA(Y2:Y51)</f>
        <v>6</v>
      </c>
    </row>
    <row r="11" spans="1:42" ht="14.25">
      <c r="A11" s="56">
        <v>43110</v>
      </c>
      <c r="B11" s="32">
        <v>4560</v>
      </c>
      <c r="C11" s="32">
        <f>B11*AD11</f>
        <v>322.07280000000003</v>
      </c>
      <c r="D11" s="32">
        <f>10+50</f>
        <v>60</v>
      </c>
      <c r="E11" s="32">
        <f>D11*AD11</f>
        <v>4.237800000000001</v>
      </c>
      <c r="F11" s="32">
        <f>47*2</f>
        <v>94</v>
      </c>
      <c r="G11" s="32">
        <f>F11*AD11</f>
        <v>6.639220000000001</v>
      </c>
      <c r="I11" s="32">
        <f>H11*AD11</f>
        <v>0</v>
      </c>
      <c r="J11" s="32">
        <v>20</v>
      </c>
      <c r="K11" s="32">
        <f>J11*AD11</f>
        <v>1.4126000000000003</v>
      </c>
      <c r="L11" s="32">
        <v>610</v>
      </c>
      <c r="M11" s="32">
        <f>L11*AD11</f>
        <v>43.084300000000006</v>
      </c>
      <c r="O11" s="32">
        <f>N11*AD11</f>
        <v>0</v>
      </c>
      <c r="Q11" s="32">
        <f>P11*AD11</f>
        <v>0</v>
      </c>
      <c r="Y11" s="32" t="s">
        <v>137</v>
      </c>
      <c r="AB11" s="60" t="s">
        <v>162</v>
      </c>
      <c r="AC11" s="32">
        <f>B11+D11+F11+H11+J11+L11+N11+P11</f>
        <v>5344</v>
      </c>
      <c r="AD11" s="32">
        <v>0.07063000000000001</v>
      </c>
      <c r="AE11" s="53">
        <f>AC11*AD11</f>
        <v>377.4467200000001</v>
      </c>
      <c r="AG11" s="32">
        <v>17</v>
      </c>
      <c r="AI11" s="32" t="s">
        <v>165</v>
      </c>
      <c r="AJ11" s="55">
        <f>SUM(G2:G994)</f>
        <v>398.0721900000001</v>
      </c>
      <c r="AL11" s="32" t="s">
        <v>166</v>
      </c>
      <c r="AM11" s="55">
        <f>AJ11/$AJ$5</f>
        <v>12.841038387096777</v>
      </c>
      <c r="AO11" s="32" t="s">
        <v>167</v>
      </c>
      <c r="AP11" s="32">
        <f>COUNTA(Z2:Z52)</f>
        <v>3</v>
      </c>
    </row>
    <row r="12" spans="1:39" ht="14.25">
      <c r="A12" s="56">
        <v>43111</v>
      </c>
      <c r="B12" s="32">
        <f>25*4</f>
        <v>100</v>
      </c>
      <c r="C12" s="32">
        <f>B12*AD12</f>
        <v>7.0630000000000015</v>
      </c>
      <c r="D12" s="32">
        <f>163+50+20</f>
        <v>233</v>
      </c>
      <c r="E12" s="32">
        <f>D12*AD12</f>
        <v>16.45679</v>
      </c>
      <c r="F12" s="32">
        <v>94</v>
      </c>
      <c r="G12" s="32">
        <f>F12*AD12</f>
        <v>6.639220000000001</v>
      </c>
      <c r="I12" s="32">
        <f>H12*AD12</f>
        <v>0</v>
      </c>
      <c r="K12" s="32">
        <f>J12*AD12</f>
        <v>0</v>
      </c>
      <c r="L12" s="32">
        <v>610</v>
      </c>
      <c r="M12" s="32">
        <f>L12*AD12</f>
        <v>43.084300000000006</v>
      </c>
      <c r="O12" s="32">
        <f>N12*AD12</f>
        <v>0</v>
      </c>
      <c r="Q12" s="32">
        <f>P12*AD12</f>
        <v>0</v>
      </c>
      <c r="Y12" s="32" t="s">
        <v>137</v>
      </c>
      <c r="AB12" s="60" t="s">
        <v>162</v>
      </c>
      <c r="AC12" s="32">
        <f>B12+D12+F12+H12+J12+L12+N12+P12</f>
        <v>1037</v>
      </c>
      <c r="AD12" s="32">
        <v>0.07063000000000001</v>
      </c>
      <c r="AE12" s="53">
        <f>AC12*AD12</f>
        <v>73.24331000000001</v>
      </c>
      <c r="AG12" s="32">
        <v>17</v>
      </c>
      <c r="AI12" s="32" t="s">
        <v>168</v>
      </c>
      <c r="AJ12" s="55">
        <f>SUM(K2:K994)</f>
        <v>27.627365000000005</v>
      </c>
      <c r="AL12" s="32" t="s">
        <v>117</v>
      </c>
      <c r="AM12" s="55">
        <f>AJ12/$AJ$5</f>
        <v>0.8912053225806453</v>
      </c>
    </row>
    <row r="13" spans="1:39" ht="14.25">
      <c r="A13" s="56">
        <v>43112</v>
      </c>
      <c r="B13" s="1"/>
      <c r="C13" s="32">
        <f>B13*AD13</f>
        <v>0</v>
      </c>
      <c r="D13" s="32">
        <v>356</v>
      </c>
      <c r="E13" s="32">
        <f>D13*AD13</f>
        <v>25.144280000000006</v>
      </c>
      <c r="F13" s="32">
        <v>94</v>
      </c>
      <c r="G13" s="32">
        <f>F13*AD13</f>
        <v>6.639220000000001</v>
      </c>
      <c r="I13" s="32">
        <f>H13*AD13</f>
        <v>0</v>
      </c>
      <c r="J13" s="32">
        <v>20</v>
      </c>
      <c r="K13" s="32">
        <f>J13*AD13</f>
        <v>1.4126000000000003</v>
      </c>
      <c r="L13" s="32">
        <v>610</v>
      </c>
      <c r="M13" s="32">
        <f>L13*AD13</f>
        <v>43.084300000000006</v>
      </c>
      <c r="O13" s="32">
        <f>N13*AD13</f>
        <v>0</v>
      </c>
      <c r="Q13" s="32">
        <f>P13*AD13</f>
        <v>0</v>
      </c>
      <c r="Y13" s="32" t="s">
        <v>137</v>
      </c>
      <c r="AB13" s="60" t="s">
        <v>162</v>
      </c>
      <c r="AC13" s="32">
        <f>B13+D13+F13+H13+J13+L13+N13+P13</f>
        <v>1080</v>
      </c>
      <c r="AD13" s="32">
        <v>0.07063000000000001</v>
      </c>
      <c r="AE13" s="53">
        <f>AC13*AD13</f>
        <v>76.28040000000001</v>
      </c>
      <c r="AG13" s="32">
        <v>17</v>
      </c>
      <c r="AI13" s="32" t="s">
        <v>169</v>
      </c>
      <c r="AJ13" s="32">
        <f>SUM(I2:I994)</f>
        <v>28.252000000000006</v>
      </c>
      <c r="AL13" s="32" t="s">
        <v>115</v>
      </c>
      <c r="AM13" s="55">
        <f>AJ13/$AJ$5</f>
        <v>0.9113548387096776</v>
      </c>
    </row>
    <row r="14" spans="1:36" ht="14.25">
      <c r="A14" s="56">
        <v>43113</v>
      </c>
      <c r="B14" s="32">
        <f>800+200+40+50</f>
        <v>1090</v>
      </c>
      <c r="C14" s="32">
        <f>B14*AD14</f>
        <v>76.98670000000001</v>
      </c>
      <c r="D14" s="32">
        <f>10+100</f>
        <v>110</v>
      </c>
      <c r="E14" s="32">
        <f>D14*AD14</f>
        <v>7.769300000000001</v>
      </c>
      <c r="G14" s="32">
        <f>F14*AD14</f>
        <v>0</v>
      </c>
      <c r="I14" s="32">
        <f>H14*AD14</f>
        <v>0</v>
      </c>
      <c r="K14" s="32">
        <f>J14*AD14</f>
        <v>0</v>
      </c>
      <c r="M14" s="32">
        <f>L14*AD14</f>
        <v>0</v>
      </c>
      <c r="O14" s="32">
        <f>N14*AD14</f>
        <v>0</v>
      </c>
      <c r="Q14" s="32">
        <f>P14*AD14</f>
        <v>0</v>
      </c>
      <c r="Z14" s="32" t="s">
        <v>137</v>
      </c>
      <c r="AB14" s="60" t="s">
        <v>170</v>
      </c>
      <c r="AC14" s="32">
        <f>B14+D14+F14+H14+J14+L14+N14+P14</f>
        <v>1200</v>
      </c>
      <c r="AD14" s="32">
        <v>0.07063000000000001</v>
      </c>
      <c r="AE14" s="53">
        <f>AC14*AD14</f>
        <v>84.75600000000001</v>
      </c>
      <c r="AG14" s="32">
        <v>17</v>
      </c>
      <c r="AI14" s="32" t="s">
        <v>171</v>
      </c>
      <c r="AJ14" s="55">
        <f>SUM(O2:O994)</f>
        <v>0</v>
      </c>
    </row>
    <row r="15" spans="1:36" ht="14.25">
      <c r="A15" s="56">
        <v>43114</v>
      </c>
      <c r="B15" s="32">
        <f>600*2+250</f>
        <v>1450</v>
      </c>
      <c r="C15" s="32">
        <f>B15*AD15</f>
        <v>102.41350000000001</v>
      </c>
      <c r="E15" s="32">
        <f>D15*AD15</f>
        <v>0</v>
      </c>
      <c r="F15" s="32">
        <f>187</f>
        <v>187</v>
      </c>
      <c r="G15" s="32">
        <f>F15*AD15</f>
        <v>13.207810000000002</v>
      </c>
      <c r="I15" s="32">
        <f>H15*AD15</f>
        <v>0</v>
      </c>
      <c r="K15" s="32">
        <f>J15*AD15</f>
        <v>0</v>
      </c>
      <c r="M15" s="32">
        <f>L15*AD15</f>
        <v>0</v>
      </c>
      <c r="O15" s="32">
        <f>N15*AD15</f>
        <v>0</v>
      </c>
      <c r="Q15" s="32">
        <f>P15*AD15</f>
        <v>0</v>
      </c>
      <c r="Z15" s="32" t="s">
        <v>137</v>
      </c>
      <c r="AB15" s="60" t="s">
        <v>172</v>
      </c>
      <c r="AC15" s="32">
        <f>B15+D15+F15+H15+J15+L15+N15+P15</f>
        <v>1637</v>
      </c>
      <c r="AD15" s="32">
        <v>0.07063000000000001</v>
      </c>
      <c r="AE15" s="53">
        <f>AC15*AD15</f>
        <v>115.62131000000002</v>
      </c>
      <c r="AG15" s="32">
        <v>17</v>
      </c>
      <c r="AI15" s="32" t="s">
        <v>173</v>
      </c>
      <c r="AJ15" s="32">
        <f>SUM(Q2:Q60)</f>
        <v>0</v>
      </c>
    </row>
    <row r="16" spans="1:35" ht="14.25">
      <c r="A16" s="56">
        <v>43115</v>
      </c>
      <c r="C16" s="32">
        <f>B16*AD16</f>
        <v>0</v>
      </c>
      <c r="D16" s="32">
        <v>126</v>
      </c>
      <c r="E16" s="32">
        <f>D16*AD16</f>
        <v>8.89938</v>
      </c>
      <c r="F16" s="32">
        <f>187+165</f>
        <v>352</v>
      </c>
      <c r="G16" s="32">
        <f>F16*AD16</f>
        <v>24.861760000000004</v>
      </c>
      <c r="I16" s="32">
        <f>H16*AD16</f>
        <v>0</v>
      </c>
      <c r="K16" s="32">
        <f>J16*AD16</f>
        <v>0</v>
      </c>
      <c r="L16" s="32">
        <v>800</v>
      </c>
      <c r="M16" s="32">
        <f>L16*AD16</f>
        <v>56.50400000000001</v>
      </c>
      <c r="O16" s="32">
        <f>N16*AD16</f>
        <v>0</v>
      </c>
      <c r="Q16" s="32">
        <f>P16*AD16</f>
        <v>0</v>
      </c>
      <c r="T16" s="32" t="s">
        <v>137</v>
      </c>
      <c r="AB16" s="60" t="s">
        <v>174</v>
      </c>
      <c r="AC16" s="32">
        <f>B16+D16+F16+H16+J16+L16+N16+P16</f>
        <v>1278</v>
      </c>
      <c r="AD16" s="32">
        <v>0.07063000000000001</v>
      </c>
      <c r="AE16" s="53">
        <f>AC16*AD16</f>
        <v>90.26514000000002</v>
      </c>
      <c r="AG16" s="32">
        <v>17</v>
      </c>
      <c r="AI16" s="59"/>
    </row>
    <row r="17" spans="1:44" ht="14.25">
      <c r="A17" s="56">
        <v>43116</v>
      </c>
      <c r="B17" s="32">
        <f>132*2+150*2+60*2+50*2+40*2</f>
        <v>864</v>
      </c>
      <c r="C17" s="32">
        <f>B17*AD17</f>
        <v>61.02432000000001</v>
      </c>
      <c r="D17" s="32">
        <f>58+15</f>
        <v>73</v>
      </c>
      <c r="E17" s="32">
        <f>D17*AD17</f>
        <v>5.155990000000001</v>
      </c>
      <c r="F17" s="32">
        <v>160</v>
      </c>
      <c r="G17" s="32">
        <f>F17*AD17</f>
        <v>11.300800000000002</v>
      </c>
      <c r="I17" s="32">
        <f>H17*AD17</f>
        <v>0</v>
      </c>
      <c r="J17" s="32">
        <f>12*2</f>
        <v>24</v>
      </c>
      <c r="K17" s="32">
        <f>J17*AD17</f>
        <v>1.6951200000000002</v>
      </c>
      <c r="L17" s="32">
        <v>600</v>
      </c>
      <c r="M17" s="32">
        <f>L17*AD17</f>
        <v>42.37800000000001</v>
      </c>
      <c r="O17" s="32">
        <f>N17*AD17</f>
        <v>0</v>
      </c>
      <c r="Q17" s="32">
        <f>P17*AD17</f>
        <v>0</v>
      </c>
      <c r="T17" s="32" t="s">
        <v>137</v>
      </c>
      <c r="AB17" s="60" t="s">
        <v>175</v>
      </c>
      <c r="AC17" s="32">
        <f>B17+D17+F17+H17+J17+L17+N17+P17</f>
        <v>1721</v>
      </c>
      <c r="AD17" s="32">
        <v>0.07063000000000001</v>
      </c>
      <c r="AE17" s="53">
        <f>AC17*AD17</f>
        <v>121.55423000000002</v>
      </c>
      <c r="AG17" s="32">
        <v>17</v>
      </c>
      <c r="AR17" s="54"/>
    </row>
    <row r="18" spans="1:44" ht="14.25">
      <c r="A18" s="56">
        <v>43117</v>
      </c>
      <c r="B18" s="32">
        <f>80+300+300</f>
        <v>680</v>
      </c>
      <c r="C18" s="32">
        <f>B18*AD18</f>
        <v>48.028400000000005</v>
      </c>
      <c r="D18" s="32">
        <f>336+40+40</f>
        <v>416</v>
      </c>
      <c r="E18" s="32">
        <f>D18*AD18</f>
        <v>29.382080000000006</v>
      </c>
      <c r="F18" s="32">
        <v>170</v>
      </c>
      <c r="G18" s="32">
        <f>F18*AD18</f>
        <v>12.007100000000001</v>
      </c>
      <c r="H18" s="32">
        <f>80+20</f>
        <v>100</v>
      </c>
      <c r="I18" s="32">
        <f>H18*AD18</f>
        <v>7.0630000000000015</v>
      </c>
      <c r="K18" s="32">
        <f>J18*AD18</f>
        <v>0</v>
      </c>
      <c r="L18" s="32">
        <v>600</v>
      </c>
      <c r="M18" s="32">
        <f>L18*AD18</f>
        <v>42.37800000000001</v>
      </c>
      <c r="O18" s="32">
        <f>N18*AD18</f>
        <v>0</v>
      </c>
      <c r="Q18" s="32">
        <f>P18*AD18</f>
        <v>0</v>
      </c>
      <c r="T18" s="32" t="s">
        <v>137</v>
      </c>
      <c r="AB18" s="60" t="s">
        <v>176</v>
      </c>
      <c r="AC18" s="32">
        <f>B18+D18+F18+H18+J18+L18+N18+P18</f>
        <v>1966</v>
      </c>
      <c r="AD18" s="32">
        <v>0.07063000000000001</v>
      </c>
      <c r="AE18" s="53">
        <f>AC18*AD18</f>
        <v>138.85858000000002</v>
      </c>
      <c r="AG18" s="32">
        <v>17</v>
      </c>
      <c r="AI18" s="32" t="s">
        <v>177</v>
      </c>
      <c r="AJ18" s="32">
        <f>SUM(AA2:AA50)</f>
        <v>0</v>
      </c>
      <c r="AR18" s="54"/>
    </row>
    <row r="19" spans="1:33" ht="14.25">
      <c r="A19" s="56">
        <v>43118</v>
      </c>
      <c r="C19" s="32">
        <f>B19*AD19</f>
        <v>0</v>
      </c>
      <c r="E19" s="32">
        <f>D19*AD19</f>
        <v>0</v>
      </c>
      <c r="F19" s="32">
        <v>180</v>
      </c>
      <c r="G19" s="32">
        <f>F19*AD19</f>
        <v>12.713400000000002</v>
      </c>
      <c r="I19" s="32">
        <f>H19*AD19</f>
        <v>0</v>
      </c>
      <c r="K19" s="32">
        <f>J19*AD19</f>
        <v>0</v>
      </c>
      <c r="L19" s="32">
        <v>600</v>
      </c>
      <c r="M19" s="32">
        <f>L19*AD19</f>
        <v>42.37800000000001</v>
      </c>
      <c r="O19" s="32">
        <f>N19*AD19</f>
        <v>0</v>
      </c>
      <c r="Q19" s="32">
        <f>P19*AD19</f>
        <v>0</v>
      </c>
      <c r="T19" s="32" t="s">
        <v>137</v>
      </c>
      <c r="AB19" s="60" t="s">
        <v>178</v>
      </c>
      <c r="AC19" s="32">
        <f>B19+D19+F19+H19+J19+L19+N19+P19</f>
        <v>780</v>
      </c>
      <c r="AD19" s="32">
        <v>0.07063000000000001</v>
      </c>
      <c r="AE19" s="53">
        <f>AC19*AD19</f>
        <v>55.09140000000001</v>
      </c>
      <c r="AG19" s="32">
        <v>17</v>
      </c>
    </row>
    <row r="20" spans="1:33" ht="14.25">
      <c r="A20" s="56">
        <v>43119</v>
      </c>
      <c r="B20" s="32">
        <f>300+980</f>
        <v>1280</v>
      </c>
      <c r="C20" s="32">
        <f>B20*AD20</f>
        <v>90.40640000000002</v>
      </c>
      <c r="D20" s="32">
        <f>120</f>
        <v>120</v>
      </c>
      <c r="E20" s="32">
        <f>D20*AD20</f>
        <v>8.475600000000002</v>
      </c>
      <c r="F20" s="32">
        <v>155</v>
      </c>
      <c r="G20" s="32">
        <f>F20*AD20</f>
        <v>10.947650000000001</v>
      </c>
      <c r="I20" s="32">
        <f>H20*AD20</f>
        <v>0</v>
      </c>
      <c r="K20" s="32">
        <f>J20*AD20</f>
        <v>0</v>
      </c>
      <c r="M20" s="32">
        <f>L20*AD20</f>
        <v>0</v>
      </c>
      <c r="O20" s="32">
        <f>N20*AD20</f>
        <v>0</v>
      </c>
      <c r="Q20" s="32">
        <f>P20*AD20</f>
        <v>0</v>
      </c>
      <c r="Z20" s="32" t="s">
        <v>137</v>
      </c>
      <c r="AB20" s="60" t="s">
        <v>179</v>
      </c>
      <c r="AC20" s="32">
        <f>B20+D20+F20+H20+J20+L20+N20+P20</f>
        <v>1555</v>
      </c>
      <c r="AD20" s="32">
        <v>0.07063000000000001</v>
      </c>
      <c r="AE20" s="53">
        <f>AC20*AD20</f>
        <v>109.82965000000002</v>
      </c>
      <c r="AG20" s="32">
        <v>17</v>
      </c>
    </row>
    <row r="21" spans="1:33" ht="14.25">
      <c r="A21" s="2">
        <v>43120</v>
      </c>
      <c r="B21" s="32">
        <f>200</f>
        <v>200</v>
      </c>
      <c r="C21" s="32">
        <f>B21*AD21</f>
        <v>14.126000000000003</v>
      </c>
      <c r="D21" s="32">
        <f>439</f>
        <v>439</v>
      </c>
      <c r="E21" s="32">
        <f>D21*AD21</f>
        <v>31.006570000000007</v>
      </c>
      <c r="F21" s="32">
        <f>60*2</f>
        <v>120</v>
      </c>
      <c r="G21" s="32">
        <f>F21*AD21</f>
        <v>8.475600000000002</v>
      </c>
      <c r="I21" s="32">
        <f>H21*AD21</f>
        <v>0</v>
      </c>
      <c r="K21" s="32">
        <f>J21*AD21</f>
        <v>0</v>
      </c>
      <c r="L21" s="32">
        <v>790</v>
      </c>
      <c r="M21" s="32">
        <f>L21*AD21</f>
        <v>55.79770000000001</v>
      </c>
      <c r="O21" s="32">
        <f>N21*AD21</f>
        <v>0</v>
      </c>
      <c r="Q21" s="32">
        <f>P21*AD21</f>
        <v>0</v>
      </c>
      <c r="T21" s="32" t="s">
        <v>137</v>
      </c>
      <c r="AB21" s="60" t="s">
        <v>180</v>
      </c>
      <c r="AC21" s="32">
        <f>B21+D21+F21+H21+J21+L21+N21+P21</f>
        <v>1549</v>
      </c>
      <c r="AD21" s="32">
        <v>0.07063000000000001</v>
      </c>
      <c r="AE21" s="53">
        <f>AC21*AD21</f>
        <v>109.40587000000002</v>
      </c>
      <c r="AG21" s="32">
        <v>17</v>
      </c>
    </row>
    <row r="22" spans="1:33" ht="14.25">
      <c r="A22" s="56">
        <v>43121</v>
      </c>
      <c r="C22" s="32">
        <f>B22*AD22</f>
        <v>0</v>
      </c>
      <c r="D22" s="32">
        <f>79+88</f>
        <v>167</v>
      </c>
      <c r="E22" s="32">
        <f>D22*AD22</f>
        <v>11.795210000000003</v>
      </c>
      <c r="F22" s="32">
        <v>120</v>
      </c>
      <c r="G22" s="32">
        <f>F22*AD22</f>
        <v>8.475600000000002</v>
      </c>
      <c r="I22" s="32">
        <f>H22*AD22</f>
        <v>0</v>
      </c>
      <c r="J22" s="32">
        <v>53</v>
      </c>
      <c r="K22" s="32">
        <f>J22*AD22</f>
        <v>3.7433900000000007</v>
      </c>
      <c r="L22" s="32">
        <v>790</v>
      </c>
      <c r="M22" s="32">
        <f>L22*AD22</f>
        <v>55.79770000000001</v>
      </c>
      <c r="O22" s="32">
        <f>N22*AD22</f>
        <v>0</v>
      </c>
      <c r="Q22" s="32">
        <f>P22*AD22</f>
        <v>0</v>
      </c>
      <c r="T22" s="32" t="s">
        <v>137</v>
      </c>
      <c r="AB22" s="60" t="s">
        <v>180</v>
      </c>
      <c r="AC22" s="32">
        <f>B22+D22+F22+H22+J22+L22+N22+P22</f>
        <v>1130</v>
      </c>
      <c r="AD22" s="32">
        <v>0.07063000000000001</v>
      </c>
      <c r="AE22" s="53">
        <f>AC22*AD22</f>
        <v>79.81190000000001</v>
      </c>
      <c r="AG22" s="32">
        <v>17</v>
      </c>
    </row>
    <row r="23" spans="1:33" ht="14.25">
      <c r="A23" s="56">
        <v>43122</v>
      </c>
      <c r="C23" s="32">
        <f>B23*AD23</f>
        <v>0</v>
      </c>
      <c r="D23" s="32">
        <f>269</f>
        <v>269</v>
      </c>
      <c r="E23" s="32">
        <f>D23*AD23</f>
        <v>18.999470000000002</v>
      </c>
      <c r="F23" s="32">
        <f>1190</f>
        <v>1190</v>
      </c>
      <c r="G23" s="32">
        <f>F23*AD23</f>
        <v>84.04970000000002</v>
      </c>
      <c r="I23" s="32">
        <f>H23*AD23</f>
        <v>0</v>
      </c>
      <c r="J23" s="32">
        <f>156+50</f>
        <v>206</v>
      </c>
      <c r="K23" s="32">
        <f>J23*AD23</f>
        <v>14.549780000000002</v>
      </c>
      <c r="L23" s="32">
        <v>790</v>
      </c>
      <c r="M23" s="32">
        <f>L23*AD23</f>
        <v>55.79770000000001</v>
      </c>
      <c r="O23" s="32">
        <f>N23*AD23</f>
        <v>0</v>
      </c>
      <c r="Q23" s="32">
        <f>P23*AD23</f>
        <v>0</v>
      </c>
      <c r="T23" s="32" t="s">
        <v>137</v>
      </c>
      <c r="AB23" s="60" t="s">
        <v>180</v>
      </c>
      <c r="AC23" s="32">
        <f>B23+D23+F23+H23+J23+L23+N23+P23</f>
        <v>2455</v>
      </c>
      <c r="AD23" s="32">
        <v>0.07063000000000001</v>
      </c>
      <c r="AE23" s="53">
        <f>AC23*AD23</f>
        <v>173.39665000000002</v>
      </c>
      <c r="AG23" s="32">
        <v>17</v>
      </c>
    </row>
    <row r="24" spans="1:33" ht="14.25">
      <c r="A24" s="56">
        <v>43123</v>
      </c>
      <c r="B24" s="32">
        <f>150*2</f>
        <v>300</v>
      </c>
      <c r="C24" s="32">
        <f>B24*AD24</f>
        <v>21.189000000000004</v>
      </c>
      <c r="D24" s="32">
        <f>70</f>
        <v>70</v>
      </c>
      <c r="E24" s="32">
        <f>D24*AD24</f>
        <v>4.944100000000001</v>
      </c>
      <c r="F24" s="32">
        <f>120+200</f>
        <v>320</v>
      </c>
      <c r="G24" s="32">
        <f>F24*AD24</f>
        <v>22.601600000000005</v>
      </c>
      <c r="I24" s="32">
        <f>H24*AD24</f>
        <v>0</v>
      </c>
      <c r="K24" s="32">
        <f>J24*AD24</f>
        <v>0</v>
      </c>
      <c r="M24" s="32">
        <f>L24*AD24</f>
        <v>0</v>
      </c>
      <c r="O24" s="32">
        <f>N24*AD24</f>
        <v>0</v>
      </c>
      <c r="Q24" s="32">
        <f>P24*AD24</f>
        <v>0</v>
      </c>
      <c r="X24" s="32" t="s">
        <v>137</v>
      </c>
      <c r="AB24" s="60" t="s">
        <v>181</v>
      </c>
      <c r="AC24" s="32">
        <f>B24+D24+F24+H24+J24+L24+N24+P24</f>
        <v>690</v>
      </c>
      <c r="AD24" s="32">
        <v>0.07063000000000001</v>
      </c>
      <c r="AE24" s="53">
        <f>AC24*AD24</f>
        <v>48.73470000000001</v>
      </c>
      <c r="AG24" s="32">
        <v>17</v>
      </c>
    </row>
    <row r="25" spans="1:33" ht="14.25">
      <c r="A25" s="56">
        <v>43124</v>
      </c>
      <c r="B25" s="32">
        <f>12*2+1.3*2</f>
        <v>26.6</v>
      </c>
      <c r="C25" s="32">
        <f>B25*AD25</f>
        <v>23.281650000000003</v>
      </c>
      <c r="D25" s="32">
        <v>30</v>
      </c>
      <c r="E25" s="32">
        <f>D25*AD25</f>
        <v>26.257500000000004</v>
      </c>
      <c r="F25" s="32">
        <v>15.2</v>
      </c>
      <c r="G25" s="32">
        <f>F25*AD25</f>
        <v>13.3038</v>
      </c>
      <c r="I25" s="32">
        <f>H25*AD25</f>
        <v>0</v>
      </c>
      <c r="K25" s="32">
        <f>J25*AD25</f>
        <v>0</v>
      </c>
      <c r="L25" s="32">
        <v>53</v>
      </c>
      <c r="M25" s="32">
        <f>L25*AD25</f>
        <v>46.388250000000006</v>
      </c>
      <c r="O25" s="32">
        <f>N25*AD25</f>
        <v>0</v>
      </c>
      <c r="Q25" s="32">
        <f>P25*AD25</f>
        <v>0</v>
      </c>
      <c r="T25" s="32" t="s">
        <v>137</v>
      </c>
      <c r="AB25" s="60" t="s">
        <v>182</v>
      </c>
      <c r="AC25" s="32">
        <f>B25+D25+F25+H25+J25+L25+N25+P25</f>
        <v>124.8</v>
      </c>
      <c r="AD25" s="53">
        <v>0.8752500000000001</v>
      </c>
      <c r="AE25" s="53">
        <f>AC25*AD25</f>
        <v>109.2312</v>
      </c>
      <c r="AG25" s="32">
        <v>18</v>
      </c>
    </row>
    <row r="26" spans="1:33" ht="14.25">
      <c r="A26" s="56">
        <v>43125</v>
      </c>
      <c r="C26" s="32">
        <f>B26*AD26</f>
        <v>0</v>
      </c>
      <c r="D26" s="32">
        <f>29+2+3</f>
        <v>34</v>
      </c>
      <c r="E26" s="32">
        <f>D26*AD26</f>
        <v>29.7585</v>
      </c>
      <c r="F26" s="32">
        <v>14</v>
      </c>
      <c r="G26" s="32">
        <f>F26*AD26</f>
        <v>12.2535</v>
      </c>
      <c r="I26" s="32">
        <f>H26*AD26</f>
        <v>0</v>
      </c>
      <c r="K26" s="32">
        <f>J26*AD26</f>
        <v>0</v>
      </c>
      <c r="L26" s="32">
        <v>53</v>
      </c>
      <c r="M26" s="32">
        <f>L26*AD26</f>
        <v>46.388250000000006</v>
      </c>
      <c r="O26" s="32">
        <f>N26*AD26</f>
        <v>0</v>
      </c>
      <c r="Q26" s="32">
        <f>P26*AD26</f>
        <v>0</v>
      </c>
      <c r="T26" s="32" t="s">
        <v>137</v>
      </c>
      <c r="AB26" s="32" t="s">
        <v>182</v>
      </c>
      <c r="AC26" s="32">
        <f>B26+D26+F26+H26+J26+L26+N26+P26</f>
        <v>101</v>
      </c>
      <c r="AD26" s="53">
        <v>0.8752500000000001</v>
      </c>
      <c r="AE26" s="53">
        <f>AC26*AD26</f>
        <v>88.40025000000001</v>
      </c>
      <c r="AG26" s="32">
        <v>18</v>
      </c>
    </row>
    <row r="27" spans="1:33" ht="14.25">
      <c r="A27" s="56">
        <v>43126</v>
      </c>
      <c r="B27" s="32">
        <f>1.3*2+2.5*4</f>
        <v>12.6</v>
      </c>
      <c r="C27" s="32">
        <f>B27*AD27</f>
        <v>11.02815</v>
      </c>
      <c r="E27" s="32">
        <f>D27*AD27</f>
        <v>0</v>
      </c>
      <c r="G27" s="32">
        <f>F27*AD27</f>
        <v>0</v>
      </c>
      <c r="I27" s="32">
        <f>H27*AD27</f>
        <v>0</v>
      </c>
      <c r="K27" s="32">
        <f>J27*AD27</f>
        <v>0</v>
      </c>
      <c r="L27" s="32">
        <v>53</v>
      </c>
      <c r="M27" s="32">
        <f>L27*AD27</f>
        <v>46.388250000000006</v>
      </c>
      <c r="O27" s="32">
        <f>N27*AD27</f>
        <v>0</v>
      </c>
      <c r="Q27" s="32">
        <f>P27*AD27</f>
        <v>0</v>
      </c>
      <c r="T27" s="32" t="s">
        <v>137</v>
      </c>
      <c r="AB27" s="32" t="s">
        <v>182</v>
      </c>
      <c r="AC27" s="32">
        <f>B27+D27+F27+H27+J27+L27+N27+P27</f>
        <v>65.6</v>
      </c>
      <c r="AD27" s="53">
        <v>0.8752500000000001</v>
      </c>
      <c r="AE27" s="53">
        <f>AC27*AD27</f>
        <v>57.4164</v>
      </c>
      <c r="AG27" s="32">
        <v>18</v>
      </c>
    </row>
    <row r="28" spans="1:33" ht="14.25">
      <c r="A28" s="56">
        <v>43127</v>
      </c>
      <c r="C28" s="32">
        <f>B28*AD28</f>
        <v>0</v>
      </c>
      <c r="D28" s="32">
        <f>9</f>
        <v>9</v>
      </c>
      <c r="E28" s="32">
        <f>D28*AD28</f>
        <v>7.877250000000001</v>
      </c>
      <c r="F28" s="32">
        <f>14+5</f>
        <v>19</v>
      </c>
      <c r="G28" s="32">
        <f>F28*AD28</f>
        <v>16.62975</v>
      </c>
      <c r="I28" s="32">
        <f>H28*AD28</f>
        <v>0</v>
      </c>
      <c r="J28" s="32">
        <f>3.5</f>
        <v>3.5</v>
      </c>
      <c r="K28" s="32">
        <f>J28*AD28</f>
        <v>3.063375</v>
      </c>
      <c r="L28" s="32">
        <v>50</v>
      </c>
      <c r="M28" s="32">
        <f>L28*AD28</f>
        <v>43.7625</v>
      </c>
      <c r="O28" s="32">
        <f>N28*AD28</f>
        <v>0</v>
      </c>
      <c r="Q28" s="32">
        <f>P28*AD28</f>
        <v>0</v>
      </c>
      <c r="T28" s="32" t="s">
        <v>137</v>
      </c>
      <c r="AB28" s="32" t="s">
        <v>182</v>
      </c>
      <c r="AC28" s="32">
        <f>B28+D28+F28+H28+J28+L28+N28+P28</f>
        <v>81.5</v>
      </c>
      <c r="AD28" s="53">
        <v>0.8752500000000001</v>
      </c>
      <c r="AE28" s="53">
        <f>AC28*AD28</f>
        <v>71.332875</v>
      </c>
      <c r="AG28" s="32">
        <v>18</v>
      </c>
    </row>
    <row r="29" spans="1:33" ht="14.25">
      <c r="A29" s="56">
        <v>43128</v>
      </c>
      <c r="C29" s="32">
        <f>B29*AD29</f>
        <v>0</v>
      </c>
      <c r="D29" s="32">
        <f>3.55</f>
        <v>3.55</v>
      </c>
      <c r="E29" s="32">
        <f>D29*AD29</f>
        <v>3.1071375000000003</v>
      </c>
      <c r="F29" s="32">
        <v>14.6</v>
      </c>
      <c r="G29" s="32">
        <f>F29*AD29</f>
        <v>12.77865</v>
      </c>
      <c r="I29" s="32">
        <f>H29*AD29</f>
        <v>0</v>
      </c>
      <c r="K29" s="32">
        <f>J29*AD29</f>
        <v>0</v>
      </c>
      <c r="L29" s="32">
        <v>50</v>
      </c>
      <c r="M29" s="32">
        <f>L29*AD29</f>
        <v>43.7625</v>
      </c>
      <c r="O29" s="32">
        <f>N29*AD29</f>
        <v>0</v>
      </c>
      <c r="Q29" s="32">
        <f>P29*AD29</f>
        <v>0</v>
      </c>
      <c r="T29" s="32" t="s">
        <v>137</v>
      </c>
      <c r="AB29" s="32" t="s">
        <v>182</v>
      </c>
      <c r="AC29" s="32">
        <f>B29+D29+F29+H29+J29+L29+N29+P29</f>
        <v>68.15</v>
      </c>
      <c r="AD29" s="53">
        <v>0.8752500000000001</v>
      </c>
      <c r="AE29" s="53">
        <f>AC29*AD29</f>
        <v>59.64828750000001</v>
      </c>
      <c r="AG29" s="32">
        <v>18</v>
      </c>
    </row>
    <row r="30" spans="1:33" ht="14.25">
      <c r="A30" s="56">
        <v>43129</v>
      </c>
      <c r="C30" s="32">
        <f>B30*AD30</f>
        <v>0</v>
      </c>
      <c r="D30" s="32">
        <v>33</v>
      </c>
      <c r="E30" s="32">
        <f>D30*AD30</f>
        <v>28.883250000000004</v>
      </c>
      <c r="G30" s="32">
        <f>F30*AD30</f>
        <v>0</v>
      </c>
      <c r="I30" s="32">
        <f>H30*AD30</f>
        <v>0</v>
      </c>
      <c r="K30" s="32">
        <f>J30*AD30</f>
        <v>0</v>
      </c>
      <c r="L30" s="32">
        <v>50</v>
      </c>
      <c r="M30" s="32">
        <f>L30*AD30</f>
        <v>43.7625</v>
      </c>
      <c r="O30" s="32">
        <f>N30*AD30</f>
        <v>0</v>
      </c>
      <c r="Q30" s="32">
        <f>P30*AD30</f>
        <v>0</v>
      </c>
      <c r="T30" s="32" t="s">
        <v>137</v>
      </c>
      <c r="AB30" s="32" t="s">
        <v>182</v>
      </c>
      <c r="AC30" s="32">
        <f>B30+D30+F30+H30+J30+L30+N30+P30</f>
        <v>83</v>
      </c>
      <c r="AD30" s="53">
        <v>0.8752500000000001</v>
      </c>
      <c r="AE30" s="53">
        <f>AC30*AD30</f>
        <v>72.64575</v>
      </c>
      <c r="AG30" s="32">
        <v>18</v>
      </c>
    </row>
    <row r="31" spans="1:33" ht="14.25">
      <c r="A31" s="56">
        <v>43130</v>
      </c>
      <c r="B31" s="32">
        <f>10+2.6</f>
        <v>12.6</v>
      </c>
      <c r="C31" s="32">
        <f>B31*AD31</f>
        <v>11.02815</v>
      </c>
      <c r="E31" s="32">
        <f>D31*AD31</f>
        <v>0</v>
      </c>
      <c r="F31" s="32">
        <v>11</v>
      </c>
      <c r="G31" s="32">
        <f>F31*AD31</f>
        <v>9.62775</v>
      </c>
      <c r="I31" s="32">
        <f>H31*AD31</f>
        <v>0</v>
      </c>
      <c r="J31" s="32">
        <v>2</v>
      </c>
      <c r="K31" s="32">
        <f>J31*AD31</f>
        <v>1.7505000000000002</v>
      </c>
      <c r="L31" s="32">
        <v>50</v>
      </c>
      <c r="M31" s="32">
        <f>L31*AD31</f>
        <v>43.7625</v>
      </c>
      <c r="O31" s="32">
        <f>N31*AD31</f>
        <v>0</v>
      </c>
      <c r="Q31" s="32">
        <f>P31*AD31</f>
        <v>0</v>
      </c>
      <c r="T31" s="32" t="s">
        <v>137</v>
      </c>
      <c r="AB31" s="32" t="s">
        <v>182</v>
      </c>
      <c r="AC31" s="32">
        <f>B31+D31+F31+H31+J31+L31+N31+P31</f>
        <v>75.6</v>
      </c>
      <c r="AD31" s="53">
        <v>0.8752500000000001</v>
      </c>
      <c r="AE31" s="53">
        <f>AC31*AD31</f>
        <v>66.16890000000001</v>
      </c>
      <c r="AG31" s="32">
        <v>18</v>
      </c>
    </row>
    <row r="32" spans="1:33" ht="12.75">
      <c r="A32" s="56">
        <v>43131</v>
      </c>
      <c r="C32" s="32">
        <f>B32*AD32</f>
        <v>0</v>
      </c>
      <c r="D32" s="32">
        <v>3.55</v>
      </c>
      <c r="E32" s="32">
        <f>D32*AD32</f>
        <v>3.1071375000000003</v>
      </c>
      <c r="F32" s="32">
        <v>14</v>
      </c>
      <c r="G32" s="32">
        <f>F32*AD32</f>
        <v>12.2535</v>
      </c>
      <c r="I32" s="32">
        <f>H32*AD32</f>
        <v>0</v>
      </c>
      <c r="K32" s="32">
        <f>J32*AD32</f>
        <v>0</v>
      </c>
      <c r="L32" s="32">
        <v>50</v>
      </c>
      <c r="M32" s="32">
        <f>L32*AD32</f>
        <v>43.7625</v>
      </c>
      <c r="O32" s="32">
        <f>N32*AD32</f>
        <v>0</v>
      </c>
      <c r="Q32" s="32">
        <f>P32*AD32</f>
        <v>0</v>
      </c>
      <c r="T32" s="32" t="s">
        <v>137</v>
      </c>
      <c r="AB32" s="32" t="s">
        <v>182</v>
      </c>
      <c r="AC32" s="32">
        <f>B32+D32+F32+H32+J32+L32+N32+P32</f>
        <v>67.55</v>
      </c>
      <c r="AD32" s="53">
        <v>0.8752500000000001</v>
      </c>
      <c r="AE32" s="53">
        <f>AC32*AD32</f>
        <v>59.123137500000006</v>
      </c>
      <c r="AG32" s="32">
        <v>18</v>
      </c>
    </row>
    <row r="33" spans="1:33" ht="12.75">
      <c r="A33" s="54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v>0.8752500000000001</v>
      </c>
      <c r="AE33" s="53">
        <f>AC33*AD33</f>
        <v>0</v>
      </c>
      <c r="AG33" s="32">
        <v>18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32">
        <v>0.07063000000000001</v>
      </c>
      <c r="AE34" s="53">
        <f>AC34*AD34</f>
        <v>0</v>
      </c>
      <c r="AG34" s="32">
        <v>18</v>
      </c>
    </row>
    <row r="35" spans="3:33" ht="12.75"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32">
        <v>0.07063000000000001</v>
      </c>
      <c r="AE35" s="53">
        <f>AC35*AD35</f>
        <v>0</v>
      </c>
      <c r="AG35" s="32">
        <v>18</v>
      </c>
    </row>
    <row r="36" spans="3:31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32">
        <v>0.07063000000000001</v>
      </c>
      <c r="AE36" s="53">
        <f>AC36*AD36</f>
        <v>0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45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f>(693.63/600000)</f>
        <v>0.00115605</v>
      </c>
      <c r="AE38" s="53">
        <f>AC38*AD38</f>
        <v>0</v>
      </c>
      <c r="AS38" s="54"/>
    </row>
    <row r="39" spans="3:31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</f>
        <v>0</v>
      </c>
      <c r="AD49" s="32">
        <v>0.0061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0.1889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D54" s="32">
        <v>0.005925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29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ht="12.75"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F1">
      <selection activeCell="AF12" sqref="AF12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43132</v>
      </c>
      <c r="C2" s="32">
        <f>B2*AD2</f>
        <v>0</v>
      </c>
      <c r="D2" s="32">
        <v>3.55</v>
      </c>
      <c r="E2" s="32">
        <f>D2*AD2</f>
        <v>3.1071375000000003</v>
      </c>
      <c r="F2" s="32">
        <v>14</v>
      </c>
      <c r="G2" s="32">
        <f>F2*AD2</f>
        <v>12.2535</v>
      </c>
      <c r="I2" s="32">
        <f>H2*AD2</f>
        <v>0</v>
      </c>
      <c r="K2" s="32">
        <f>J2*AD2</f>
        <v>0</v>
      </c>
      <c r="L2" s="32">
        <v>50</v>
      </c>
      <c r="M2" s="32">
        <f>L2*AD2</f>
        <v>43.7625</v>
      </c>
      <c r="O2" s="32">
        <f>N2*AD2</f>
        <v>0</v>
      </c>
      <c r="Q2" s="32">
        <f>P2*AD2</f>
        <v>0</v>
      </c>
      <c r="T2" s="32" t="s">
        <v>137</v>
      </c>
      <c r="AB2" s="32" t="s">
        <v>182</v>
      </c>
      <c r="AC2" s="32">
        <f>B2+D2+F2+H2+J2+L2+N2+P2</f>
        <v>67.55</v>
      </c>
      <c r="AD2" s="53">
        <v>0.8752500000000001</v>
      </c>
      <c r="AE2" s="53">
        <f>AC2*AD2</f>
        <v>59.123137500000006</v>
      </c>
      <c r="AG2" s="32">
        <v>18</v>
      </c>
      <c r="AI2" s="32" t="s">
        <v>139</v>
      </c>
      <c r="AJ2" s="55">
        <f>SUM($AE$2:$AE$994)</f>
        <v>2518.0670975000003</v>
      </c>
      <c r="AL2" s="32" t="s">
        <v>140</v>
      </c>
      <c r="AM2" s="57">
        <f>$AJ$2/$AJ$5</f>
        <v>89.93096776785715</v>
      </c>
      <c r="AO2" s="32" t="s">
        <v>141</v>
      </c>
      <c r="AP2" s="32">
        <f>COUNTBLANK(L2:L40)-COUNTBLANK(A2:A40)</f>
        <v>1</v>
      </c>
      <c r="AQ2" s="58"/>
      <c r="AR2" s="58"/>
      <c r="AS2" s="58"/>
      <c r="AT2" s="58"/>
      <c r="AU2" s="58" t="s">
        <v>183</v>
      </c>
      <c r="AV2" s="58">
        <f>SUMIF($AG$2:$AG$44,"=19",$AE$2:$AE$44)</f>
        <v>346.2305</v>
      </c>
      <c r="AW2" s="58"/>
      <c r="AX2" s="58" t="s">
        <v>143</v>
      </c>
      <c r="AY2" s="58">
        <f>SUMIF($AG$2:$AG$44,"=18",$AE$2:$AE$44)</f>
        <v>2171.8365975000006</v>
      </c>
      <c r="AZ2" s="58"/>
      <c r="BB2" s="35"/>
      <c r="BC2" s="35"/>
    </row>
    <row r="3" spans="1:55" ht="14.25">
      <c r="A3" s="56">
        <v>43133</v>
      </c>
      <c r="C3" s="32">
        <f>B3*AD3</f>
        <v>0</v>
      </c>
      <c r="D3" s="32">
        <f>37.5+17.1+3</f>
        <v>57.6</v>
      </c>
      <c r="E3" s="32">
        <f>D3*AD3</f>
        <v>50.41440000000001</v>
      </c>
      <c r="F3" s="32">
        <v>14</v>
      </c>
      <c r="G3" s="32">
        <f>F3*AD3</f>
        <v>12.2535</v>
      </c>
      <c r="I3" s="32">
        <f>H3*AD3</f>
        <v>0</v>
      </c>
      <c r="K3" s="32">
        <f>J3*AD3</f>
        <v>0</v>
      </c>
      <c r="L3" s="32">
        <v>50</v>
      </c>
      <c r="M3" s="32">
        <f>L3*AD3</f>
        <v>43.7625</v>
      </c>
      <c r="O3" s="32">
        <f>N3*AD3</f>
        <v>0</v>
      </c>
      <c r="Q3" s="32">
        <f>P3*AD3</f>
        <v>0</v>
      </c>
      <c r="T3" s="32" t="s">
        <v>137</v>
      </c>
      <c r="AB3" s="32" t="s">
        <v>182</v>
      </c>
      <c r="AC3" s="32">
        <f>B3+D3+F3+H3+J3+L3+N3+P3</f>
        <v>121.6</v>
      </c>
      <c r="AD3" s="53">
        <v>0.8752500000000001</v>
      </c>
      <c r="AE3" s="53">
        <f>AC3*AD3</f>
        <v>106.4304</v>
      </c>
      <c r="AG3" s="32">
        <v>18</v>
      </c>
      <c r="AI3" s="59"/>
      <c r="AL3" s="59"/>
      <c r="AM3" s="57"/>
      <c r="AO3" s="32" t="s">
        <v>145</v>
      </c>
      <c r="AP3" s="32">
        <f>COUNT(L2:L36)</f>
        <v>27</v>
      </c>
      <c r="AR3" s="58"/>
      <c r="AS3" s="58"/>
      <c r="AT3" s="58"/>
      <c r="AU3" s="58" t="s">
        <v>184</v>
      </c>
      <c r="AV3" s="58">
        <f>_xlfn.COUNTIFS($A$2:$A$44,"&lt;&gt;''",$AG$2:$AG$44,"=19")</f>
        <v>3</v>
      </c>
      <c r="AW3" s="58"/>
      <c r="AX3" s="58" t="s">
        <v>147</v>
      </c>
      <c r="AY3" s="58">
        <f>_xlfn.COUNTIFS($A$2:$A$44,"&lt;&gt;''",$AG$2:$AG$44,"=18")</f>
        <v>25</v>
      </c>
      <c r="AZ3" s="58"/>
      <c r="BB3" s="35"/>
      <c r="BC3" s="35"/>
    </row>
    <row r="4" spans="1:55" ht="14.25">
      <c r="A4" s="56">
        <v>43134</v>
      </c>
      <c r="C4" s="32">
        <f>B4*AD4</f>
        <v>0</v>
      </c>
      <c r="D4" s="32">
        <f>8.5</f>
        <v>8.5</v>
      </c>
      <c r="E4" s="32">
        <f>D4*AD4</f>
        <v>7.439625</v>
      </c>
      <c r="G4" s="32">
        <f>F4*AD4</f>
        <v>0</v>
      </c>
      <c r="I4" s="32">
        <f>H4*AD4</f>
        <v>0</v>
      </c>
      <c r="K4" s="32">
        <f>J4*AD4</f>
        <v>0</v>
      </c>
      <c r="L4" s="32">
        <v>50</v>
      </c>
      <c r="M4" s="32">
        <f>L4*AD4</f>
        <v>43.7625</v>
      </c>
      <c r="O4" s="32">
        <f>N4*AD4</f>
        <v>0</v>
      </c>
      <c r="Q4" s="32">
        <f>P4*AD4</f>
        <v>0</v>
      </c>
      <c r="T4" s="32" t="s">
        <v>137</v>
      </c>
      <c r="AB4" s="32" t="s">
        <v>182</v>
      </c>
      <c r="AC4" s="32">
        <f>B4+D4+F4+H4+J4+L4+N4+P4</f>
        <v>58.5</v>
      </c>
      <c r="AD4" s="53">
        <v>0.8752500000000001</v>
      </c>
      <c r="AE4" s="53">
        <f>AC4*AD4</f>
        <v>51.202125</v>
      </c>
      <c r="AG4" s="32">
        <v>18</v>
      </c>
      <c r="AO4" s="32" t="s">
        <v>149</v>
      </c>
      <c r="AP4" s="32">
        <f>COUNTA(W2:W49)</f>
        <v>0</v>
      </c>
      <c r="AR4" s="58"/>
      <c r="AS4" s="58"/>
      <c r="AT4" s="58"/>
      <c r="AU4" s="58" t="s">
        <v>185</v>
      </c>
      <c r="AV4" s="58">
        <f>AV2/AV3</f>
        <v>115.41016666666667</v>
      </c>
      <c r="AW4" s="58"/>
      <c r="AX4" s="58" t="s">
        <v>151</v>
      </c>
      <c r="AY4" s="58">
        <f>AY2/AY3</f>
        <v>86.87346390000002</v>
      </c>
      <c r="AZ4" s="58"/>
      <c r="BB4" s="35"/>
      <c r="BC4" s="35"/>
    </row>
    <row r="5" spans="1:42" ht="14.25">
      <c r="A5" s="56">
        <v>43135</v>
      </c>
      <c r="B5" s="32">
        <f>6+69+5</f>
        <v>80</v>
      </c>
      <c r="C5" s="32">
        <f>B5*AD5</f>
        <v>70.02000000000001</v>
      </c>
      <c r="E5" s="32">
        <f>D5*AD5</f>
        <v>0</v>
      </c>
      <c r="G5" s="32">
        <f>F5*AD5</f>
        <v>0</v>
      </c>
      <c r="I5" s="32">
        <f>H5*AD5</f>
        <v>0</v>
      </c>
      <c r="K5" s="32">
        <f>J5*AD5</f>
        <v>0</v>
      </c>
      <c r="M5" s="32">
        <f>L5*AD5</f>
        <v>0</v>
      </c>
      <c r="O5" s="32">
        <f>N5*AD5</f>
        <v>0</v>
      </c>
      <c r="Q5" s="32">
        <f>P5*AD5</f>
        <v>0</v>
      </c>
      <c r="AB5" s="32" t="s">
        <v>186</v>
      </c>
      <c r="AC5" s="32">
        <f>B5+D5+F5+H5+J5+L5+N5+P5</f>
        <v>80</v>
      </c>
      <c r="AD5" s="53">
        <v>0.8752500000000001</v>
      </c>
      <c r="AE5" s="53">
        <f>AC5*AD5</f>
        <v>70.02000000000001</v>
      </c>
      <c r="AG5" s="32">
        <v>18</v>
      </c>
      <c r="AI5" s="32" t="s">
        <v>153</v>
      </c>
      <c r="AJ5" s="32">
        <f>COUNTA(A2:A349)</f>
        <v>28</v>
      </c>
      <c r="AO5" s="32" t="s">
        <v>154</v>
      </c>
      <c r="AP5" s="32">
        <f>COUNTA(R2:R49)</f>
        <v>0</v>
      </c>
    </row>
    <row r="6" spans="1:42" ht="14.25">
      <c r="A6" s="56"/>
      <c r="C6" s="32">
        <f>B6*AD6</f>
        <v>0</v>
      </c>
      <c r="D6" s="32">
        <v>5.45</v>
      </c>
      <c r="E6" s="32">
        <f>D6*AD6</f>
        <v>14.2681</v>
      </c>
      <c r="G6" s="32">
        <f>F6*AD6</f>
        <v>0</v>
      </c>
      <c r="I6" s="32">
        <f>H6*AD6</f>
        <v>0</v>
      </c>
      <c r="K6" s="32">
        <f>J6*AD6</f>
        <v>0</v>
      </c>
      <c r="L6" s="32">
        <v>29.6</v>
      </c>
      <c r="M6" s="32">
        <f>L6*AD6</f>
        <v>77.4928</v>
      </c>
      <c r="O6" s="32">
        <f>N6*AD6</f>
        <v>0</v>
      </c>
      <c r="Q6" s="32">
        <f>P6*AD6</f>
        <v>0</v>
      </c>
      <c r="T6" s="32" t="s">
        <v>137</v>
      </c>
      <c r="AC6" s="32">
        <f>B6+D6+F6+H6+J6+L6+N6+P6</f>
        <v>35.050000000000004</v>
      </c>
      <c r="AD6" s="53">
        <v>2.618</v>
      </c>
      <c r="AE6" s="53">
        <f>AC6*AD6</f>
        <v>91.7609</v>
      </c>
      <c r="AG6" s="32">
        <v>19</v>
      </c>
      <c r="AI6" s="59"/>
      <c r="AO6" s="32" t="s">
        <v>156</v>
      </c>
      <c r="AP6" s="32">
        <f>COUNTA(T2:T49)</f>
        <v>27</v>
      </c>
    </row>
    <row r="7" spans="1:42" ht="14.25">
      <c r="A7" s="56">
        <v>43136</v>
      </c>
      <c r="B7" s="32">
        <f>1.9*2+1.6*2</f>
        <v>7</v>
      </c>
      <c r="C7" s="32">
        <f>B7*AD7</f>
        <v>18.326</v>
      </c>
      <c r="D7" s="32">
        <v>3.2</v>
      </c>
      <c r="E7" s="32">
        <f>D7*AD7</f>
        <v>8.3776</v>
      </c>
      <c r="F7" s="32">
        <v>6</v>
      </c>
      <c r="G7" s="32">
        <f>F7*AD7</f>
        <v>15.707999999999998</v>
      </c>
      <c r="I7" s="32">
        <f>H7*AD7</f>
        <v>0</v>
      </c>
      <c r="K7" s="32">
        <f>J7*AD7</f>
        <v>0</v>
      </c>
      <c r="L7" s="32">
        <v>29.6</v>
      </c>
      <c r="M7" s="32">
        <f>L7*AD7</f>
        <v>77.4928</v>
      </c>
      <c r="O7" s="32">
        <f>N7*AD7</f>
        <v>0</v>
      </c>
      <c r="Q7" s="32">
        <f>P7*AD7</f>
        <v>0</v>
      </c>
      <c r="T7" s="32" t="s">
        <v>137</v>
      </c>
      <c r="AB7" s="32" t="s">
        <v>187</v>
      </c>
      <c r="AC7" s="32">
        <f>B7+D7+F7+H7+J7+L7+N7+P7</f>
        <v>45.8</v>
      </c>
      <c r="AD7" s="53">
        <v>2.618</v>
      </c>
      <c r="AE7" s="53">
        <f>AC7*AD7</f>
        <v>119.90439999999998</v>
      </c>
      <c r="AG7" s="32">
        <v>19</v>
      </c>
      <c r="AL7" s="32" t="s">
        <v>158</v>
      </c>
      <c r="AO7" s="32" t="s">
        <v>126</v>
      </c>
      <c r="AP7" s="32">
        <f>COUNTA(U2:U49)</f>
        <v>0</v>
      </c>
    </row>
    <row r="8" spans="1:42" ht="14.25">
      <c r="A8" s="56">
        <v>43137</v>
      </c>
      <c r="B8" s="32">
        <f>1.5*2+1.8*2</f>
        <v>6.6</v>
      </c>
      <c r="C8" s="32">
        <f>B8*AD8</f>
        <v>17.278799999999997</v>
      </c>
      <c r="D8" s="32">
        <v>7.4</v>
      </c>
      <c r="E8" s="32">
        <f>D8*AD8</f>
        <v>19.3732</v>
      </c>
      <c r="G8" s="32">
        <f>F8*AD8</f>
        <v>0</v>
      </c>
      <c r="I8" s="32">
        <f>H8*AD8</f>
        <v>0</v>
      </c>
      <c r="K8" s="32">
        <f>J8*AD8</f>
        <v>0</v>
      </c>
      <c r="L8" s="32">
        <v>29.6</v>
      </c>
      <c r="M8" s="32">
        <f>L8*AD8</f>
        <v>77.4928</v>
      </c>
      <c r="O8" s="32">
        <f>N8*AD8</f>
        <v>0</v>
      </c>
      <c r="Q8" s="32">
        <f>P8*AD8</f>
        <v>0</v>
      </c>
      <c r="T8" s="32" t="s">
        <v>137</v>
      </c>
      <c r="AB8" s="32" t="s">
        <v>187</v>
      </c>
      <c r="AC8" s="32">
        <f>B8+D8+F8+H8+J8+L8+N8+P8</f>
        <v>43.6</v>
      </c>
      <c r="AD8" s="53">
        <v>2.618</v>
      </c>
      <c r="AE8" s="53">
        <f>AC8*AD8</f>
        <v>114.1448</v>
      </c>
      <c r="AG8" s="32">
        <v>19</v>
      </c>
      <c r="AI8" s="32" t="s">
        <v>160</v>
      </c>
      <c r="AJ8" s="55">
        <f>SUM(M2:M994)</f>
        <v>1193.5029</v>
      </c>
      <c r="AL8" s="32" t="s">
        <v>119</v>
      </c>
      <c r="AM8" s="55">
        <f>AJ8/$AJ$5</f>
        <v>42.62510357142857</v>
      </c>
      <c r="AO8" s="32" t="s">
        <v>161</v>
      </c>
      <c r="AP8" s="32">
        <f>COUNTA(S2:S49)</f>
        <v>0</v>
      </c>
    </row>
    <row r="9" spans="1:42" ht="14.25">
      <c r="A9" s="56">
        <v>43138</v>
      </c>
      <c r="B9" s="1">
        <f>1.4*2+2.5*2</f>
        <v>7.8</v>
      </c>
      <c r="C9" s="32">
        <f>B9*AD9</f>
        <v>20.420399999999997</v>
      </c>
      <c r="E9" s="32">
        <f>D9*AD9</f>
        <v>0</v>
      </c>
      <c r="G9" s="32">
        <f>F9*AD9</f>
        <v>0</v>
      </c>
      <c r="I9" s="32">
        <f>H9*AD9</f>
        <v>0</v>
      </c>
      <c r="K9" s="32">
        <f>J9*AD9</f>
        <v>0</v>
      </c>
      <c r="M9" s="32">
        <f>L9*AD9</f>
        <v>0</v>
      </c>
      <c r="O9" s="32">
        <f>N9*AD9</f>
        <v>0</v>
      </c>
      <c r="Q9" s="32">
        <f>P9*AD9</f>
        <v>0</v>
      </c>
      <c r="AC9" s="32">
        <f>B9+D9+F9+H9+J9+L9+N9+P9</f>
        <v>7.8</v>
      </c>
      <c r="AD9" s="53">
        <v>2.618</v>
      </c>
      <c r="AE9" s="53">
        <f>AC9*AD9</f>
        <v>20.420399999999997</v>
      </c>
      <c r="AG9" s="32">
        <v>19</v>
      </c>
      <c r="AI9" s="32" t="s">
        <v>163</v>
      </c>
      <c r="AJ9" s="55">
        <f>SUM(C2:C994)</f>
        <v>629.2176725</v>
      </c>
      <c r="AL9" s="32" t="s">
        <v>109</v>
      </c>
      <c r="AM9" s="55">
        <f>AJ9/$AJ$5</f>
        <v>22.47205973214286</v>
      </c>
      <c r="AO9" s="32" t="s">
        <v>127</v>
      </c>
      <c r="AP9" s="32">
        <f>COUNTA(V2:V50)</f>
        <v>0</v>
      </c>
    </row>
    <row r="10" spans="1:42" ht="14.25">
      <c r="A10" s="56"/>
      <c r="B10" s="32">
        <f>15*2+2*2</f>
        <v>34</v>
      </c>
      <c r="C10" s="32">
        <f>B10*AD10</f>
        <v>29.7585</v>
      </c>
      <c r="D10" s="32">
        <f>2</f>
        <v>2</v>
      </c>
      <c r="E10" s="32">
        <f>D10*AD10</f>
        <v>1.7505000000000002</v>
      </c>
      <c r="F10" s="32">
        <f>5*2+14.9</f>
        <v>24.9</v>
      </c>
      <c r="G10" s="32">
        <f>F10*AD10</f>
        <v>21.793725000000002</v>
      </c>
      <c r="I10" s="32">
        <f>H10*AD10</f>
        <v>0</v>
      </c>
      <c r="K10" s="32">
        <f>J10*AD10</f>
        <v>0</v>
      </c>
      <c r="L10" s="32">
        <v>42</v>
      </c>
      <c r="M10" s="32">
        <f>L10*AD10</f>
        <v>36.7605</v>
      </c>
      <c r="O10" s="32">
        <f>N10*AD10</f>
        <v>0</v>
      </c>
      <c r="Q10" s="32">
        <f>P10*AD10</f>
        <v>0</v>
      </c>
      <c r="T10" s="32" t="s">
        <v>137</v>
      </c>
      <c r="AB10" s="32" t="s">
        <v>188</v>
      </c>
      <c r="AC10" s="32">
        <f>B10+D10+F10+H10+J10+L10+N10+P10</f>
        <v>102.9</v>
      </c>
      <c r="AD10" s="53">
        <v>0.8752500000000001</v>
      </c>
      <c r="AE10" s="53">
        <f>AC10*AD10</f>
        <v>90.06322500000002</v>
      </c>
      <c r="AG10" s="32">
        <v>18</v>
      </c>
      <c r="AI10" s="32" t="s">
        <v>164</v>
      </c>
      <c r="AJ10" s="55">
        <f>SUM(E2:E994)</f>
        <v>381.9660000000001</v>
      </c>
      <c r="AL10" s="32" t="s">
        <v>51</v>
      </c>
      <c r="AM10" s="55">
        <f>AJ10/$AJ$5</f>
        <v>13.64164285714286</v>
      </c>
      <c r="AO10" s="32" t="s">
        <v>130</v>
      </c>
      <c r="AP10" s="32">
        <f>COUNTA(Y2:Y51)</f>
        <v>0</v>
      </c>
    </row>
    <row r="11" spans="1:42" ht="14.25">
      <c r="A11" s="56">
        <v>43139</v>
      </c>
      <c r="C11" s="32">
        <f>B11*AD11</f>
        <v>0</v>
      </c>
      <c r="D11" s="32">
        <f>12.75+0.2+0.1</f>
        <v>13.049999999999999</v>
      </c>
      <c r="E11" s="32">
        <f>D11*AD11</f>
        <v>11.422012500000001</v>
      </c>
      <c r="F11" s="32">
        <f>12.9+11.7</f>
        <v>24.6</v>
      </c>
      <c r="G11" s="32">
        <f>F11*AD11</f>
        <v>21.531150000000004</v>
      </c>
      <c r="I11" s="32">
        <f>H11*AD11</f>
        <v>0</v>
      </c>
      <c r="K11" s="32">
        <f>J11*AD11</f>
        <v>0</v>
      </c>
      <c r="L11" s="32">
        <v>42</v>
      </c>
      <c r="M11" s="32">
        <f>L11*AD11</f>
        <v>36.7605</v>
      </c>
      <c r="O11" s="32">
        <f>N11*AD11</f>
        <v>0</v>
      </c>
      <c r="Q11" s="32">
        <f>P11*AD11</f>
        <v>0</v>
      </c>
      <c r="T11" s="32" t="s">
        <v>137</v>
      </c>
      <c r="AB11" s="60" t="s">
        <v>189</v>
      </c>
      <c r="AC11" s="32">
        <f>B11+D11+F11+H11+J11+L11+N11+P11</f>
        <v>79.65</v>
      </c>
      <c r="AD11" s="53">
        <v>0.8752500000000001</v>
      </c>
      <c r="AE11" s="53">
        <f>AC11*AD11</f>
        <v>69.71366250000001</v>
      </c>
      <c r="AG11" s="32">
        <v>18</v>
      </c>
      <c r="AI11" s="32" t="s">
        <v>165</v>
      </c>
      <c r="AJ11" s="55">
        <f>SUM(G2:G994)</f>
        <v>272.593875</v>
      </c>
      <c r="AL11" s="32" t="s">
        <v>166</v>
      </c>
      <c r="AM11" s="55">
        <f>AJ11/$AJ$5</f>
        <v>9.735495535714287</v>
      </c>
      <c r="AO11" s="32" t="s">
        <v>167</v>
      </c>
      <c r="AP11" s="32">
        <f>COUNTA(Z2:Z52)</f>
        <v>0</v>
      </c>
    </row>
    <row r="12" spans="1:39" ht="14.25">
      <c r="A12" s="56">
        <v>43140</v>
      </c>
      <c r="B12" s="32">
        <f>10*2+2*2+3*2</f>
        <v>30</v>
      </c>
      <c r="C12" s="32">
        <f>B12*AD12</f>
        <v>26.257500000000004</v>
      </c>
      <c r="D12" s="32">
        <f>6.25</f>
        <v>6.25</v>
      </c>
      <c r="E12" s="32">
        <f>D12*AD12</f>
        <v>5.4703125</v>
      </c>
      <c r="F12" s="32">
        <f>7+6.5</f>
        <v>13.5</v>
      </c>
      <c r="G12" s="32">
        <f>F12*AD12</f>
        <v>11.815875000000002</v>
      </c>
      <c r="I12" s="32">
        <f>H12*AD12</f>
        <v>0</v>
      </c>
      <c r="K12" s="32">
        <f>J12*AD12</f>
        <v>0</v>
      </c>
      <c r="L12" s="32">
        <v>40</v>
      </c>
      <c r="M12" s="32">
        <f>L12*AD12</f>
        <v>35.010000000000005</v>
      </c>
      <c r="O12" s="32">
        <f>N12*AD12</f>
        <v>0</v>
      </c>
      <c r="Q12" s="32">
        <f>P12*AD12</f>
        <v>0</v>
      </c>
      <c r="T12" s="32" t="s">
        <v>137</v>
      </c>
      <c r="AB12" s="60" t="s">
        <v>190</v>
      </c>
      <c r="AC12" s="32">
        <f>B12+D12+F12+H12+J12+L12+N12+P12</f>
        <v>89.75</v>
      </c>
      <c r="AD12" s="53">
        <v>0.8752500000000001</v>
      </c>
      <c r="AE12" s="53">
        <f>AC12*AD12</f>
        <v>78.55368750000001</v>
      </c>
      <c r="AG12" s="32">
        <v>18</v>
      </c>
      <c r="AI12" s="32" t="s">
        <v>168</v>
      </c>
      <c r="AJ12" s="55">
        <f>SUM(K2:K994)</f>
        <v>21.531150000000004</v>
      </c>
      <c r="AL12" s="32" t="s">
        <v>117</v>
      </c>
      <c r="AM12" s="55">
        <f>AJ12/$AJ$5</f>
        <v>0.768969642857143</v>
      </c>
    </row>
    <row r="13" spans="1:39" ht="14.25">
      <c r="A13" s="56">
        <v>43141</v>
      </c>
      <c r="B13" s="1"/>
      <c r="C13" s="32">
        <f>B13*AD13</f>
        <v>0</v>
      </c>
      <c r="D13" s="32">
        <v>28.65</v>
      </c>
      <c r="E13" s="32">
        <f>D13*AD13</f>
        <v>25.0759125</v>
      </c>
      <c r="F13" s="32">
        <v>14</v>
      </c>
      <c r="G13" s="32">
        <f>F13*AD13</f>
        <v>12.2535</v>
      </c>
      <c r="I13" s="32">
        <f>H13*AD13</f>
        <v>0</v>
      </c>
      <c r="K13" s="32">
        <f>J13*AD13</f>
        <v>0</v>
      </c>
      <c r="L13" s="32">
        <v>40</v>
      </c>
      <c r="M13" s="32">
        <f>L13*AD13</f>
        <v>35.010000000000005</v>
      </c>
      <c r="O13" s="32">
        <f>N13*AD13</f>
        <v>0</v>
      </c>
      <c r="Q13" s="32">
        <f>P13*AD13</f>
        <v>0</v>
      </c>
      <c r="T13" s="32" t="s">
        <v>137</v>
      </c>
      <c r="AB13" s="60" t="s">
        <v>182</v>
      </c>
      <c r="AC13" s="32">
        <f>B13+D13+F13+H13+J13+L13+N13+P13</f>
        <v>82.65</v>
      </c>
      <c r="AD13" s="53">
        <v>0.8752500000000001</v>
      </c>
      <c r="AE13" s="53">
        <f>AC13*AD13</f>
        <v>72.33941250000001</v>
      </c>
      <c r="AG13" s="32">
        <v>18</v>
      </c>
      <c r="AI13" s="32" t="s">
        <v>169</v>
      </c>
      <c r="AJ13" s="55">
        <f>SUM(I2:I994)</f>
        <v>19.2555</v>
      </c>
      <c r="AL13" s="32" t="s">
        <v>115</v>
      </c>
      <c r="AM13" s="55">
        <f>AJ13/$AJ$5</f>
        <v>0.6876964285714287</v>
      </c>
    </row>
    <row r="14" spans="1:36" ht="14.25">
      <c r="A14" s="56">
        <v>43142</v>
      </c>
      <c r="C14" s="32">
        <f>B14*AD14</f>
        <v>0</v>
      </c>
      <c r="D14" s="32">
        <v>13.8</v>
      </c>
      <c r="E14" s="32">
        <f>D14*AD14</f>
        <v>12.078450000000002</v>
      </c>
      <c r="F14" s="32">
        <v>14</v>
      </c>
      <c r="G14" s="32">
        <f>F14*AD14</f>
        <v>12.2535</v>
      </c>
      <c r="I14" s="32">
        <f>H14*AD14</f>
        <v>0</v>
      </c>
      <c r="K14" s="32">
        <f>J14*AD14</f>
        <v>0</v>
      </c>
      <c r="L14" s="32">
        <v>40</v>
      </c>
      <c r="M14" s="32">
        <f>L14*AD14</f>
        <v>35.010000000000005</v>
      </c>
      <c r="O14" s="32">
        <f>N14*AD14</f>
        <v>0</v>
      </c>
      <c r="Q14" s="32">
        <f>P14*AD14</f>
        <v>0</v>
      </c>
      <c r="T14" s="32" t="s">
        <v>137</v>
      </c>
      <c r="AB14" s="60" t="s">
        <v>182</v>
      </c>
      <c r="AC14" s="32">
        <f>B14+D14+F14+H14+J14+L14+N14+P14</f>
        <v>67.8</v>
      </c>
      <c r="AD14" s="53">
        <v>0.8752500000000001</v>
      </c>
      <c r="AE14" s="53">
        <f>AC14*AD14</f>
        <v>59.341950000000004</v>
      </c>
      <c r="AG14" s="32">
        <v>18</v>
      </c>
      <c r="AI14" s="32" t="s">
        <v>171</v>
      </c>
      <c r="AJ14" s="55">
        <f>SUM(O2:O994)</f>
        <v>0</v>
      </c>
    </row>
    <row r="15" spans="1:36" ht="14.25">
      <c r="A15" s="56">
        <v>43143</v>
      </c>
      <c r="B15" s="32">
        <f>35.4*2+6</f>
        <v>76.8</v>
      </c>
      <c r="C15" s="32">
        <f>B15*AD15</f>
        <v>67.2192</v>
      </c>
      <c r="D15" s="32">
        <f>13.95</f>
        <v>13.95</v>
      </c>
      <c r="E15" s="32">
        <f>D15*AD15</f>
        <v>12.209737500000001</v>
      </c>
      <c r="F15" s="32">
        <v>16</v>
      </c>
      <c r="G15" s="32">
        <f>F15*AD15</f>
        <v>14.004000000000001</v>
      </c>
      <c r="I15" s="32">
        <f>H15*AD15</f>
        <v>0</v>
      </c>
      <c r="K15" s="32">
        <f>J15*AD15</f>
        <v>0</v>
      </c>
      <c r="L15" s="32">
        <v>55</v>
      </c>
      <c r="M15" s="32">
        <f>L15*AD15</f>
        <v>48.13875</v>
      </c>
      <c r="O15" s="32">
        <f>N15*AD15</f>
        <v>0</v>
      </c>
      <c r="Q15" s="32">
        <f>P15*AD15</f>
        <v>0</v>
      </c>
      <c r="T15" s="32" t="s">
        <v>137</v>
      </c>
      <c r="AB15" s="60" t="s">
        <v>191</v>
      </c>
      <c r="AC15" s="32">
        <f>B15+D15+F15+H15+J15+L15+N15+P15</f>
        <v>161.75</v>
      </c>
      <c r="AD15" s="53">
        <v>0.8752500000000001</v>
      </c>
      <c r="AE15" s="53">
        <f>AC15*AD15</f>
        <v>141.57168750000002</v>
      </c>
      <c r="AG15" s="32">
        <v>18</v>
      </c>
      <c r="AI15" s="32" t="s">
        <v>173</v>
      </c>
      <c r="AJ15" s="32">
        <f>SUM(Q2:Q60)</f>
        <v>0</v>
      </c>
    </row>
    <row r="16" spans="1:35" ht="14.25">
      <c r="A16" s="56">
        <v>43144</v>
      </c>
      <c r="C16" s="32">
        <f>B16*AD16</f>
        <v>0</v>
      </c>
      <c r="D16" s="32">
        <v>7.2</v>
      </c>
      <c r="E16" s="32">
        <f>D16*AD16</f>
        <v>6.301800000000001</v>
      </c>
      <c r="F16" s="32">
        <v>16</v>
      </c>
      <c r="G16" s="32">
        <f>F16*AD16</f>
        <v>14.004000000000001</v>
      </c>
      <c r="I16" s="32">
        <f>H16*AD16</f>
        <v>0</v>
      </c>
      <c r="J16" s="32">
        <v>3</v>
      </c>
      <c r="K16" s="32">
        <f>J16*AD16</f>
        <v>2.62575</v>
      </c>
      <c r="L16" s="32">
        <v>55</v>
      </c>
      <c r="M16" s="32">
        <f>L16*AD16</f>
        <v>48.13875</v>
      </c>
      <c r="O16" s="32">
        <f>N16*AD16</f>
        <v>0</v>
      </c>
      <c r="Q16" s="32">
        <f>P16*AD16</f>
        <v>0</v>
      </c>
      <c r="T16" s="32" t="s">
        <v>137</v>
      </c>
      <c r="AB16" s="60" t="s">
        <v>192</v>
      </c>
      <c r="AC16" s="32">
        <f>B16+D16+F16+H16+J16+L16+N16+P16</f>
        <v>81.2</v>
      </c>
      <c r="AD16" s="53">
        <v>0.8752500000000001</v>
      </c>
      <c r="AE16" s="53">
        <f>AC16*AD16</f>
        <v>71.0703</v>
      </c>
      <c r="AG16" s="32">
        <v>18</v>
      </c>
      <c r="AI16" s="59"/>
    </row>
    <row r="17" spans="1:44" ht="14.25">
      <c r="A17" s="56">
        <v>43145</v>
      </c>
      <c r="B17" s="32">
        <f>45*2</f>
        <v>90</v>
      </c>
      <c r="C17" s="32">
        <f>B17*AD17</f>
        <v>78.77250000000001</v>
      </c>
      <c r="D17" s="32">
        <f>9.55</f>
        <v>9.55</v>
      </c>
      <c r="E17" s="32">
        <f>D17*AD17</f>
        <v>8.358637500000002</v>
      </c>
      <c r="F17" s="32">
        <f>15+13.5</f>
        <v>28.5</v>
      </c>
      <c r="G17" s="32">
        <f>F17*AD17</f>
        <v>24.944625000000002</v>
      </c>
      <c r="I17" s="32">
        <f>H17*AD17</f>
        <v>0</v>
      </c>
      <c r="K17" s="32">
        <f>J17*AD17</f>
        <v>0</v>
      </c>
      <c r="L17" s="32">
        <v>55</v>
      </c>
      <c r="M17" s="32">
        <f>L17*AD17</f>
        <v>48.13875</v>
      </c>
      <c r="O17" s="32">
        <f>N17*AD17</f>
        <v>0</v>
      </c>
      <c r="Q17" s="32">
        <f>P17*AD17</f>
        <v>0</v>
      </c>
      <c r="T17" s="32" t="s">
        <v>137</v>
      </c>
      <c r="AB17" s="60" t="s">
        <v>192</v>
      </c>
      <c r="AC17" s="32">
        <f>B17+D17+F17+H17+J17+L17+N17+P17</f>
        <v>183.05</v>
      </c>
      <c r="AD17" s="53">
        <v>0.8752500000000001</v>
      </c>
      <c r="AE17" s="53">
        <f>AC17*AD17</f>
        <v>160.2145125</v>
      </c>
      <c r="AG17" s="32">
        <v>18</v>
      </c>
      <c r="AR17" s="54"/>
    </row>
    <row r="18" spans="1:44" ht="14.25">
      <c r="A18" s="56">
        <v>43146</v>
      </c>
      <c r="C18" s="32">
        <f>B18*AD18</f>
        <v>0</v>
      </c>
      <c r="D18" s="32">
        <f>25.5</f>
        <v>25.5</v>
      </c>
      <c r="E18" s="32">
        <f>D18*AD18</f>
        <v>22.318875000000002</v>
      </c>
      <c r="F18" s="32">
        <f>14</f>
        <v>14</v>
      </c>
      <c r="G18" s="32">
        <f>F18*AD18</f>
        <v>12.2535</v>
      </c>
      <c r="I18" s="32">
        <f>H18*AD18</f>
        <v>0</v>
      </c>
      <c r="J18" s="32">
        <v>0.30000000000000004</v>
      </c>
      <c r="K18" s="32">
        <f>J18*AD18</f>
        <v>0.26257500000000006</v>
      </c>
      <c r="L18" s="32">
        <v>35</v>
      </c>
      <c r="M18" s="32">
        <f>L18*AD18</f>
        <v>30.633750000000003</v>
      </c>
      <c r="O18" s="32">
        <f>N18*AD18</f>
        <v>0</v>
      </c>
      <c r="Q18" s="32">
        <f>P18*AD18</f>
        <v>0</v>
      </c>
      <c r="T18" s="32" t="s">
        <v>137</v>
      </c>
      <c r="AB18" s="60" t="s">
        <v>193</v>
      </c>
      <c r="AC18" s="32">
        <f>B18+D18+F18+H18+J18+L18+N18+P18</f>
        <v>74.8</v>
      </c>
      <c r="AD18" s="53">
        <v>0.8752500000000001</v>
      </c>
      <c r="AE18" s="53">
        <f>AC18*AD18</f>
        <v>65.4687</v>
      </c>
      <c r="AG18" s="32">
        <v>18</v>
      </c>
      <c r="AI18" s="32" t="s">
        <v>177</v>
      </c>
      <c r="AJ18" s="32">
        <f>SUM(AA2:AA50)</f>
        <v>0</v>
      </c>
      <c r="AR18" s="54"/>
    </row>
    <row r="19" spans="1:33" ht="14.25">
      <c r="A19" s="56">
        <v>43147</v>
      </c>
      <c r="B19" s="32">
        <f>7*4+4</f>
        <v>32</v>
      </c>
      <c r="C19" s="32">
        <f>B19*AD19</f>
        <v>28.008000000000003</v>
      </c>
      <c r="E19" s="32">
        <f>D19*AD19</f>
        <v>0</v>
      </c>
      <c r="F19" s="32">
        <v>14</v>
      </c>
      <c r="G19" s="32">
        <f>F19*AD19</f>
        <v>12.2535</v>
      </c>
      <c r="H19" s="32">
        <f>5*2+5*2+2</f>
        <v>22</v>
      </c>
      <c r="I19" s="32">
        <f>H19*AD19</f>
        <v>19.2555</v>
      </c>
      <c r="J19" s="32">
        <f>0.4+0.1+0.2</f>
        <v>0.7</v>
      </c>
      <c r="K19" s="32">
        <f>J19*AD19</f>
        <v>0.612675</v>
      </c>
      <c r="L19" s="32">
        <v>35</v>
      </c>
      <c r="M19" s="32">
        <f>L19*AD19</f>
        <v>30.633750000000003</v>
      </c>
      <c r="O19" s="32">
        <f>N19*AD19</f>
        <v>0</v>
      </c>
      <c r="Q19" s="32">
        <f>P19*AD19</f>
        <v>0</v>
      </c>
      <c r="T19" s="32" t="s">
        <v>137</v>
      </c>
      <c r="AB19" s="60" t="s">
        <v>194</v>
      </c>
      <c r="AC19" s="32">
        <f>B19+D19+F19+H19+J19+L19+N19+P19</f>
        <v>103.7</v>
      </c>
      <c r="AD19" s="53">
        <v>0.8752500000000001</v>
      </c>
      <c r="AE19" s="53">
        <f>AC19*AD19</f>
        <v>90.76342500000001</v>
      </c>
      <c r="AG19" s="32">
        <v>18</v>
      </c>
    </row>
    <row r="20" spans="1:33" ht="14.25">
      <c r="A20" s="56">
        <v>43148</v>
      </c>
      <c r="B20" s="32">
        <f>20.2*2</f>
        <v>40.4</v>
      </c>
      <c r="C20" s="32">
        <f>B20*AD20</f>
        <v>35.3601</v>
      </c>
      <c r="D20" s="32">
        <f>11.55</f>
        <v>11.55</v>
      </c>
      <c r="E20" s="32">
        <f>D20*AD20</f>
        <v>10.109137500000001</v>
      </c>
      <c r="F20" s="32">
        <v>14</v>
      </c>
      <c r="G20" s="32">
        <f>F20*AD20</f>
        <v>12.2535</v>
      </c>
      <c r="I20" s="32">
        <f>H20*AD20</f>
        <v>0</v>
      </c>
      <c r="J20" s="32">
        <f>0.3</f>
        <v>0.30000000000000004</v>
      </c>
      <c r="K20" s="32">
        <f>J20*AD20</f>
        <v>0.26257500000000006</v>
      </c>
      <c r="L20" s="32">
        <v>35</v>
      </c>
      <c r="M20" s="32">
        <f>L20*AD20</f>
        <v>30.633750000000003</v>
      </c>
      <c r="O20" s="32">
        <f>N20*AD20</f>
        <v>0</v>
      </c>
      <c r="Q20" s="32">
        <f>P20*AD20</f>
        <v>0</v>
      </c>
      <c r="T20" s="32" t="s">
        <v>137</v>
      </c>
      <c r="AB20" s="60" t="s">
        <v>195</v>
      </c>
      <c r="AC20" s="32">
        <f>B20+D20+F20+H20+J20+L20+N20+P20</f>
        <v>101.25</v>
      </c>
      <c r="AD20" s="53">
        <v>0.8752500000000001</v>
      </c>
      <c r="AE20" s="53">
        <f>AC20*AD20</f>
        <v>88.61906250000001</v>
      </c>
      <c r="AG20" s="32">
        <v>18</v>
      </c>
    </row>
    <row r="21" spans="1:33" ht="14.25">
      <c r="A21" s="56">
        <v>43149</v>
      </c>
      <c r="C21" s="32">
        <f>B21*AD21</f>
        <v>0</v>
      </c>
      <c r="D21" s="32">
        <v>10.5</v>
      </c>
      <c r="E21" s="32">
        <f>D21*AD21</f>
        <v>9.190125</v>
      </c>
      <c r="F21" s="32">
        <v>14</v>
      </c>
      <c r="G21" s="32">
        <f>F21*AD21</f>
        <v>12.2535</v>
      </c>
      <c r="I21" s="32">
        <f>H21*AD21</f>
        <v>0</v>
      </c>
      <c r="J21" s="32">
        <v>0.4</v>
      </c>
      <c r="K21" s="32">
        <f>J21*AD21</f>
        <v>0.3501000000000001</v>
      </c>
      <c r="L21" s="32">
        <v>35</v>
      </c>
      <c r="M21" s="32">
        <f>L21*AD21</f>
        <v>30.633750000000003</v>
      </c>
      <c r="O21" s="32">
        <f>N21*AD21</f>
        <v>0</v>
      </c>
      <c r="Q21" s="32">
        <f>P21*AD21</f>
        <v>0</v>
      </c>
      <c r="T21" s="32" t="s">
        <v>137</v>
      </c>
      <c r="AB21" s="60" t="s">
        <v>196</v>
      </c>
      <c r="AC21" s="32">
        <f>B21+D21+F21+H21+J21+L21+N21+P21</f>
        <v>59.9</v>
      </c>
      <c r="AD21" s="53">
        <v>0.8752500000000001</v>
      </c>
      <c r="AE21" s="53">
        <f>AC21*AD21</f>
        <v>52.427475</v>
      </c>
      <c r="AG21" s="32">
        <v>18</v>
      </c>
    </row>
    <row r="22" spans="1:33" ht="14.25">
      <c r="A22" s="56">
        <v>43150</v>
      </c>
      <c r="B22" s="32">
        <f>1.7*2</f>
        <v>3.4000000000000004</v>
      </c>
      <c r="C22" s="32">
        <f>B22*AD22</f>
        <v>2.9758500000000008</v>
      </c>
      <c r="D22" s="32">
        <v>57.5</v>
      </c>
      <c r="E22" s="32">
        <f>D22*AD22</f>
        <v>50.32687500000001</v>
      </c>
      <c r="F22" s="32">
        <v>14</v>
      </c>
      <c r="G22" s="32">
        <f>F22*AD22</f>
        <v>12.2535</v>
      </c>
      <c r="I22" s="32">
        <f>H22*AD22</f>
        <v>0</v>
      </c>
      <c r="K22" s="32">
        <f>J22*AD22</f>
        <v>0</v>
      </c>
      <c r="L22" s="32">
        <v>50</v>
      </c>
      <c r="M22" s="32">
        <f>L22*AD22</f>
        <v>43.7625</v>
      </c>
      <c r="O22" s="32">
        <f>N22*AD22</f>
        <v>0</v>
      </c>
      <c r="Q22" s="32">
        <f>P22*AD22</f>
        <v>0</v>
      </c>
      <c r="T22" s="32" t="s">
        <v>137</v>
      </c>
      <c r="AB22" s="60" t="s">
        <v>197</v>
      </c>
      <c r="AC22" s="32">
        <f>B22+D22+F22+H22+J22+L22+N22+P22</f>
        <v>124.9</v>
      </c>
      <c r="AD22" s="53">
        <v>0.8752500000000001</v>
      </c>
      <c r="AE22" s="53">
        <f>AC22*AD22</f>
        <v>109.31872500000001</v>
      </c>
      <c r="AG22" s="32">
        <v>18</v>
      </c>
    </row>
    <row r="23" spans="1:33" ht="14.25">
      <c r="A23" s="56">
        <v>43151</v>
      </c>
      <c r="C23" s="32">
        <f>B23*AD23</f>
        <v>0</v>
      </c>
      <c r="D23" s="32">
        <v>0.7</v>
      </c>
      <c r="E23" s="32">
        <f>D23*AD23</f>
        <v>0.6126750000000001</v>
      </c>
      <c r="G23" s="32">
        <f>F23*AD23</f>
        <v>0</v>
      </c>
      <c r="I23" s="32">
        <f>H23*AD23</f>
        <v>0</v>
      </c>
      <c r="K23" s="32">
        <f>J23*AD23</f>
        <v>0</v>
      </c>
      <c r="L23" s="32">
        <v>50</v>
      </c>
      <c r="M23" s="32">
        <f>L23*AD23</f>
        <v>43.7625</v>
      </c>
      <c r="O23" s="32">
        <f>N23*AD23</f>
        <v>0</v>
      </c>
      <c r="Q23" s="32">
        <f>P23*AD23</f>
        <v>0</v>
      </c>
      <c r="T23" s="32" t="s">
        <v>137</v>
      </c>
      <c r="AB23" s="60" t="s">
        <v>182</v>
      </c>
      <c r="AC23" s="32">
        <f>B23+D23+F23+H23+J23+L23+N23+P23</f>
        <v>50.7</v>
      </c>
      <c r="AD23" s="53">
        <v>0.8752500000000001</v>
      </c>
      <c r="AE23" s="53">
        <f>AC23*AD23</f>
        <v>44.375175000000006</v>
      </c>
      <c r="AG23" s="32">
        <v>18</v>
      </c>
    </row>
    <row r="24" spans="1:33" ht="14.25">
      <c r="A24" s="56">
        <v>43152</v>
      </c>
      <c r="C24" s="32">
        <f>B24*AD24</f>
        <v>0</v>
      </c>
      <c r="D24" s="32">
        <v>3.55</v>
      </c>
      <c r="E24" s="32">
        <f>D24*AD24</f>
        <v>3.1071375000000003</v>
      </c>
      <c r="G24" s="32">
        <f>F24*AD24</f>
        <v>0</v>
      </c>
      <c r="I24" s="32">
        <f>H24*AD24</f>
        <v>0</v>
      </c>
      <c r="K24" s="32">
        <f>J24*AD24</f>
        <v>0</v>
      </c>
      <c r="L24" s="32">
        <v>50</v>
      </c>
      <c r="M24" s="32">
        <f>L24*AD24</f>
        <v>43.7625</v>
      </c>
      <c r="O24" s="32">
        <f>N24*AD24</f>
        <v>0</v>
      </c>
      <c r="Q24" s="32">
        <f>P24*AD24</f>
        <v>0</v>
      </c>
      <c r="T24" s="32" t="s">
        <v>137</v>
      </c>
      <c r="AB24" s="60" t="s">
        <v>182</v>
      </c>
      <c r="AC24" s="32">
        <f>B24+D24+F24+H24+J24+L24+N24+P24</f>
        <v>53.55</v>
      </c>
      <c r="AD24" s="53">
        <v>0.8752500000000001</v>
      </c>
      <c r="AE24" s="53">
        <f>AC24*AD24</f>
        <v>46.8696375</v>
      </c>
      <c r="AG24" s="32">
        <v>18</v>
      </c>
    </row>
    <row r="25" spans="1:33" ht="14.25">
      <c r="A25" s="56">
        <v>43153</v>
      </c>
      <c r="C25" s="32">
        <f>B25*AD25</f>
        <v>0</v>
      </c>
      <c r="D25" s="32">
        <v>41.5</v>
      </c>
      <c r="E25" s="32">
        <f>D25*AD25</f>
        <v>36.322875</v>
      </c>
      <c r="G25" s="32">
        <f>F25*AD25</f>
        <v>0</v>
      </c>
      <c r="I25" s="32">
        <f>H25*AD25</f>
        <v>0</v>
      </c>
      <c r="K25" s="32">
        <f>J25*AD25</f>
        <v>0</v>
      </c>
      <c r="L25" s="32">
        <v>50</v>
      </c>
      <c r="M25" s="32">
        <f>L25*AD25</f>
        <v>43.7625</v>
      </c>
      <c r="O25" s="32">
        <f>N25*AD25</f>
        <v>0</v>
      </c>
      <c r="Q25" s="32">
        <f>P25*AD25</f>
        <v>0</v>
      </c>
      <c r="T25" s="32" t="s">
        <v>137</v>
      </c>
      <c r="AB25" s="60" t="s">
        <v>182</v>
      </c>
      <c r="AC25" s="32">
        <f>B25+D25+F25+H25+J25+L25+N25+P25</f>
        <v>91.5</v>
      </c>
      <c r="AD25" s="53">
        <v>0.8752500000000001</v>
      </c>
      <c r="AE25" s="53">
        <f>AC25*AD25</f>
        <v>80.08537500000001</v>
      </c>
      <c r="AG25" s="32">
        <v>18</v>
      </c>
    </row>
    <row r="26" spans="1:33" ht="14.25">
      <c r="A26" s="56">
        <v>43154</v>
      </c>
      <c r="C26" s="32">
        <f>B26*AD26</f>
        <v>0</v>
      </c>
      <c r="D26" s="32">
        <v>8.5</v>
      </c>
      <c r="E26" s="32">
        <f>D26*AD26</f>
        <v>7.439625</v>
      </c>
      <c r="G26" s="32">
        <f>F26*AD26</f>
        <v>0</v>
      </c>
      <c r="I26" s="32">
        <f>H26*AD26</f>
        <v>0</v>
      </c>
      <c r="K26" s="32">
        <f>J26*AD26</f>
        <v>0</v>
      </c>
      <c r="L26" s="32">
        <v>50</v>
      </c>
      <c r="M26" s="32">
        <f>L26*AD26</f>
        <v>43.7625</v>
      </c>
      <c r="O26" s="32">
        <f>N26*AD26</f>
        <v>0</v>
      </c>
      <c r="Q26" s="32">
        <f>P26*AD26</f>
        <v>0</v>
      </c>
      <c r="T26" s="32" t="s">
        <v>137</v>
      </c>
      <c r="AB26" s="32" t="s">
        <v>182</v>
      </c>
      <c r="AC26" s="32">
        <f>B26+D26+F26+H26+J26+L26+N26+P26</f>
        <v>58.5</v>
      </c>
      <c r="AD26" s="53">
        <v>0.8752500000000001</v>
      </c>
      <c r="AE26" s="53">
        <f>AC26*AD26</f>
        <v>51.202125</v>
      </c>
      <c r="AG26" s="32">
        <v>18</v>
      </c>
    </row>
    <row r="27" spans="1:33" ht="14.25">
      <c r="A27" s="56">
        <v>43155</v>
      </c>
      <c r="C27" s="32">
        <f>B27*AD27</f>
        <v>0</v>
      </c>
      <c r="D27" s="32">
        <f>22.5</f>
        <v>22.5</v>
      </c>
      <c r="E27" s="32">
        <f>D27*AD27</f>
        <v>19.693125000000002</v>
      </c>
      <c r="G27" s="32">
        <f>F27*AD27</f>
        <v>0</v>
      </c>
      <c r="I27" s="32">
        <f>H27*AD27</f>
        <v>0</v>
      </c>
      <c r="J27" s="32">
        <v>10</v>
      </c>
      <c r="K27" s="32">
        <f>J27*AD27</f>
        <v>8.752500000000001</v>
      </c>
      <c r="L27" s="32">
        <v>50</v>
      </c>
      <c r="M27" s="32">
        <f>L27*AD27</f>
        <v>43.7625</v>
      </c>
      <c r="O27" s="32">
        <f>N27*AD27</f>
        <v>0</v>
      </c>
      <c r="Q27" s="32">
        <f>P27*AD27</f>
        <v>0</v>
      </c>
      <c r="T27" s="32" t="s">
        <v>137</v>
      </c>
      <c r="AB27" s="32" t="s">
        <v>182</v>
      </c>
      <c r="AC27" s="32">
        <f>B27+D27+F27+H27+J27+L27+N27+P27</f>
        <v>82.5</v>
      </c>
      <c r="AD27" s="53">
        <v>0.8752500000000001</v>
      </c>
      <c r="AE27" s="53">
        <f>AC27*AD27</f>
        <v>72.20812500000001</v>
      </c>
      <c r="AG27" s="32">
        <v>18</v>
      </c>
    </row>
    <row r="28" spans="1:33" ht="14.25">
      <c r="A28" s="56">
        <v>43156</v>
      </c>
      <c r="B28" s="32">
        <f>224+13.69</f>
        <v>237.69</v>
      </c>
      <c r="C28" s="32">
        <f>B28*AD28</f>
        <v>208.03817250000003</v>
      </c>
      <c r="D28" s="32">
        <f>6.35</f>
        <v>6.35</v>
      </c>
      <c r="E28" s="32">
        <f>D28*AD28</f>
        <v>5.557837500000001</v>
      </c>
      <c r="G28" s="32">
        <f>F28*AD28</f>
        <v>0</v>
      </c>
      <c r="I28" s="32">
        <f>H28*AD28</f>
        <v>0</v>
      </c>
      <c r="J28" s="32">
        <v>9.9</v>
      </c>
      <c r="K28" s="32">
        <f>J28*AD28</f>
        <v>8.664975000000002</v>
      </c>
      <c r="L28" s="32">
        <v>50</v>
      </c>
      <c r="M28" s="32">
        <f>L28*AD28</f>
        <v>43.7625</v>
      </c>
      <c r="O28" s="32">
        <f>N28*AD28</f>
        <v>0</v>
      </c>
      <c r="Q28" s="32">
        <f>P28*AD28</f>
        <v>0</v>
      </c>
      <c r="T28" s="32" t="s">
        <v>137</v>
      </c>
      <c r="AB28" s="32" t="s">
        <v>182</v>
      </c>
      <c r="AC28" s="32">
        <f>B28+D28+F28+H28+J28+L28+N28+P28</f>
        <v>303.94</v>
      </c>
      <c r="AD28" s="53">
        <v>0.8752500000000001</v>
      </c>
      <c r="AE28" s="53">
        <f>AC28*AD28</f>
        <v>266.02348500000005</v>
      </c>
      <c r="AG28" s="32">
        <v>18</v>
      </c>
    </row>
    <row r="29" spans="1:33" ht="14.25">
      <c r="A29" s="56">
        <v>43157</v>
      </c>
      <c r="B29" s="32">
        <f>2.6+12*2</f>
        <v>26.6</v>
      </c>
      <c r="C29" s="32">
        <f>B29*AD29</f>
        <v>23.281650000000003</v>
      </c>
      <c r="E29" s="32">
        <f>D29*AD29</f>
        <v>0</v>
      </c>
      <c r="F29" s="32">
        <v>21</v>
      </c>
      <c r="G29" s="32">
        <f>F29*AD29</f>
        <v>18.38025</v>
      </c>
      <c r="I29" s="32">
        <f>H29*AD29</f>
        <v>0</v>
      </c>
      <c r="K29" s="32">
        <f>J29*AD29</f>
        <v>0</v>
      </c>
      <c r="M29" s="32">
        <f>L29*AD29</f>
        <v>0</v>
      </c>
      <c r="O29" s="32">
        <f>N29*AD29</f>
        <v>0</v>
      </c>
      <c r="Q29" s="32">
        <f>P29*AD29</f>
        <v>0</v>
      </c>
      <c r="X29" s="32" t="s">
        <v>137</v>
      </c>
      <c r="AB29" s="32" t="s">
        <v>182</v>
      </c>
      <c r="AC29" s="32">
        <f>B29+D29+F29+H29+J29+L29+N29+P29</f>
        <v>47.6</v>
      </c>
      <c r="AD29" s="53">
        <v>0.8752500000000001</v>
      </c>
      <c r="AE29" s="53">
        <f>AC29*AD29</f>
        <v>41.6619</v>
      </c>
      <c r="AG29" s="32">
        <v>18</v>
      </c>
    </row>
    <row r="30" spans="1:33" ht="14.25">
      <c r="A30" s="56">
        <v>43158</v>
      </c>
      <c r="B30" s="32">
        <f>2*2</f>
        <v>4</v>
      </c>
      <c r="C30" s="32">
        <f>B30*AD30</f>
        <v>3.5010000000000003</v>
      </c>
      <c r="D30" s="32">
        <f>2.5+14.5</f>
        <v>17</v>
      </c>
      <c r="E30" s="32">
        <f>D30*AD30</f>
        <v>14.87925</v>
      </c>
      <c r="F30" s="32">
        <f>5.5*2+2</f>
        <v>13</v>
      </c>
      <c r="G30" s="32">
        <f>F30*AD30</f>
        <v>11.378250000000001</v>
      </c>
      <c r="I30" s="32">
        <f>H30*AD30</f>
        <v>0</v>
      </c>
      <c r="K30" s="32">
        <f>J30*AD30</f>
        <v>0</v>
      </c>
      <c r="L30" s="32">
        <v>44.5</v>
      </c>
      <c r="M30" s="32">
        <f>L30*AD30</f>
        <v>38.94862500000001</v>
      </c>
      <c r="O30" s="32">
        <f>N30*AD30</f>
        <v>0</v>
      </c>
      <c r="Q30" s="32">
        <f>P30*AD30</f>
        <v>0</v>
      </c>
      <c r="T30" s="32" t="s">
        <v>137</v>
      </c>
      <c r="AB30" s="32" t="s">
        <v>198</v>
      </c>
      <c r="AC30" s="32">
        <f>B30+D30+F30+H30+J30+L30+N30+P30</f>
        <v>78.5</v>
      </c>
      <c r="AD30" s="53">
        <v>0.8752500000000001</v>
      </c>
      <c r="AE30" s="53">
        <f>AC30*AD30</f>
        <v>68.707125</v>
      </c>
      <c r="AG30" s="32">
        <v>18</v>
      </c>
    </row>
    <row r="31" spans="1:33" ht="14.25">
      <c r="A31" s="56">
        <v>43159</v>
      </c>
      <c r="C31" s="32">
        <f>B31*AD31</f>
        <v>0</v>
      </c>
      <c r="D31" s="32">
        <f>7.95+11.2</f>
        <v>19.15</v>
      </c>
      <c r="E31" s="32">
        <f>D31*AD31</f>
        <v>16.7610375</v>
      </c>
      <c r="F31" s="32">
        <f>5*2</f>
        <v>10</v>
      </c>
      <c r="G31" s="32">
        <f>F31*AD31</f>
        <v>8.752500000000001</v>
      </c>
      <c r="I31" s="32">
        <f>H31*AD31</f>
        <v>0</v>
      </c>
      <c r="K31" s="32">
        <f>J31*AD31</f>
        <v>0</v>
      </c>
      <c r="L31" s="32">
        <v>44.5</v>
      </c>
      <c r="M31" s="32">
        <f>L31*AD31</f>
        <v>38.94862500000001</v>
      </c>
      <c r="O31" s="32">
        <f>N31*AD31</f>
        <v>0</v>
      </c>
      <c r="Q31" s="32">
        <f>P31*AD31</f>
        <v>0</v>
      </c>
      <c r="T31" s="32" t="s">
        <v>137</v>
      </c>
      <c r="AB31" s="32" t="s">
        <v>199</v>
      </c>
      <c r="AC31" s="32">
        <f>B31+D31+F31+H31+J31+L31+N31+P31</f>
        <v>73.65</v>
      </c>
      <c r="AD31" s="53">
        <v>0.8752500000000001</v>
      </c>
      <c r="AE31" s="53">
        <f>AC31*AD31</f>
        <v>64.4621625</v>
      </c>
      <c r="AG31" s="32">
        <v>18</v>
      </c>
    </row>
    <row r="32" spans="1:33" ht="12.75">
      <c r="A32" s="56"/>
      <c r="C32" s="32">
        <f>B32*AD32</f>
        <v>0</v>
      </c>
      <c r="E32" s="32">
        <f>D32*AD32</f>
        <v>0</v>
      </c>
      <c r="G32" s="32">
        <f>F32*AD32</f>
        <v>0</v>
      </c>
      <c r="I32" s="32">
        <f>H32*AD32</f>
        <v>0</v>
      </c>
      <c r="K32" s="32">
        <f>J32*AD32</f>
        <v>0</v>
      </c>
      <c r="M32" s="32">
        <f>L32*AD32</f>
        <v>0</v>
      </c>
      <c r="O32" s="32">
        <f>N32*AD32</f>
        <v>0</v>
      </c>
      <c r="Q32" s="32">
        <f>P32*AD32</f>
        <v>0</v>
      </c>
      <c r="AC32" s="32">
        <f>B32+D32+F32+H32+J32+L32+N32+P32</f>
        <v>0</v>
      </c>
      <c r="AD32" s="53">
        <v>0.8752500000000001</v>
      </c>
      <c r="AE32" s="53">
        <f>AC32*AD32</f>
        <v>0</v>
      </c>
      <c r="AG32" s="32">
        <v>18</v>
      </c>
    </row>
    <row r="33" spans="1:33" ht="12.75">
      <c r="A33" s="54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v>0.8752500000000001</v>
      </c>
      <c r="AE33" s="53">
        <f>AC33*AD33</f>
        <v>0</v>
      </c>
      <c r="AG33" s="32">
        <v>18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32">
        <v>0.07063000000000001</v>
      </c>
      <c r="AE34" s="53">
        <f>AC34*AD34</f>
        <v>0</v>
      </c>
      <c r="AG34" s="32">
        <v>18</v>
      </c>
    </row>
    <row r="35" spans="3:33" ht="12.75"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32">
        <v>0.07063000000000001</v>
      </c>
      <c r="AE35" s="53">
        <f>AC35*AD35</f>
        <v>0</v>
      </c>
      <c r="AG35" s="32">
        <v>18</v>
      </c>
    </row>
    <row r="36" spans="3:31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32">
        <v>0.07063000000000001</v>
      </c>
      <c r="AE36" s="53">
        <f>AC36*AD36</f>
        <v>0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45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f>(693.63/600000)</f>
        <v>0.00115605</v>
      </c>
      <c r="AE38" s="53">
        <f>AC38*AD38</f>
        <v>0</v>
      </c>
      <c r="AS38" s="54"/>
    </row>
    <row r="39" spans="3:31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</f>
        <v>0</v>
      </c>
      <c r="AD49" s="32">
        <v>0.0061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0.1889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D54" s="32">
        <v>0.005925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29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ht="12.75"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Q1">
      <selection activeCell="AU2" sqref="AU2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43160</v>
      </c>
      <c r="C2" s="32">
        <f>B2*AD2</f>
        <v>0</v>
      </c>
      <c r="D2" s="32">
        <f>6.6</f>
        <v>6.6</v>
      </c>
      <c r="E2" s="32">
        <f>D2*AD2</f>
        <v>5.77665</v>
      </c>
      <c r="F2" s="32">
        <f>16</f>
        <v>16</v>
      </c>
      <c r="G2" s="32">
        <f>F2*AD2</f>
        <v>14.004000000000001</v>
      </c>
      <c r="I2" s="32">
        <f>H2*AD2</f>
        <v>0</v>
      </c>
      <c r="K2" s="32">
        <f>J2*AD2</f>
        <v>0</v>
      </c>
      <c r="L2" s="32">
        <v>44</v>
      </c>
      <c r="M2" s="32">
        <f>L2*AD2</f>
        <v>38.511</v>
      </c>
      <c r="O2" s="32">
        <f>N2*AD2</f>
        <v>0</v>
      </c>
      <c r="Q2" s="32">
        <f>P2*AD2</f>
        <v>0</v>
      </c>
      <c r="T2" s="32" t="s">
        <v>137</v>
      </c>
      <c r="AB2" s="32" t="s">
        <v>199</v>
      </c>
      <c r="AC2" s="32">
        <f>B2+D2+F2+H2+J2+L2+N2+P2</f>
        <v>66.6</v>
      </c>
      <c r="AD2" s="53">
        <v>0.8752500000000001</v>
      </c>
      <c r="AE2" s="53">
        <f>AC2*AD2</f>
        <v>58.29165</v>
      </c>
      <c r="AG2" s="32">
        <v>18</v>
      </c>
      <c r="AI2" s="32" t="s">
        <v>139</v>
      </c>
      <c r="AJ2" s="55">
        <f>SUM($AE$2:$AE$994)</f>
        <v>3148.3065650000003</v>
      </c>
      <c r="AL2" s="32" t="s">
        <v>140</v>
      </c>
      <c r="AM2" s="57">
        <f>$AJ$2/$AJ$5</f>
        <v>101.5582762903226</v>
      </c>
      <c r="AO2" s="32" t="s">
        <v>141</v>
      </c>
      <c r="AP2" s="32">
        <f>COUNTBLANK(L2:L40)-COUNTBLANK(A2:A40)</f>
        <v>1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43161</v>
      </c>
      <c r="C3" s="32">
        <f>B3*AD3</f>
        <v>0</v>
      </c>
      <c r="D3" s="32">
        <f>20.5</f>
        <v>20.5</v>
      </c>
      <c r="E3" s="32">
        <f>D3*AD3</f>
        <v>17.942625000000003</v>
      </c>
      <c r="F3" s="32">
        <v>16</v>
      </c>
      <c r="G3" s="32">
        <f>F3*AD3</f>
        <v>14.004000000000001</v>
      </c>
      <c r="I3" s="32">
        <f>H3*AD3</f>
        <v>0</v>
      </c>
      <c r="K3" s="32">
        <f>J3*AD3</f>
        <v>0</v>
      </c>
      <c r="L3" s="32">
        <v>60</v>
      </c>
      <c r="M3" s="32">
        <f>L3*AD3</f>
        <v>52.51500000000001</v>
      </c>
      <c r="O3" s="32">
        <f>N3*AD3</f>
        <v>0</v>
      </c>
      <c r="Q3" s="32">
        <f>P3*AD3</f>
        <v>0</v>
      </c>
      <c r="T3" s="32" t="s">
        <v>137</v>
      </c>
      <c r="AB3" s="32" t="s">
        <v>199</v>
      </c>
      <c r="AC3" s="32">
        <f>B3+D3+F3+H3+J3+L3+N3+P3</f>
        <v>96.5</v>
      </c>
      <c r="AD3" s="53">
        <v>0.8752500000000001</v>
      </c>
      <c r="AE3" s="53">
        <f>AC3*AD3</f>
        <v>84.46162500000001</v>
      </c>
      <c r="AG3" s="32">
        <v>18</v>
      </c>
      <c r="AI3" s="59"/>
      <c r="AL3" s="59"/>
      <c r="AM3" s="57"/>
      <c r="AO3" s="32" t="s">
        <v>145</v>
      </c>
      <c r="AP3" s="32">
        <f>COUNT(L2:L36)</f>
        <v>30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43162</v>
      </c>
      <c r="C4" s="32">
        <f>B4*AD4</f>
        <v>0</v>
      </c>
      <c r="D4" s="32">
        <f>40</f>
        <v>40</v>
      </c>
      <c r="E4" s="32">
        <f>D4*AD4</f>
        <v>35.010000000000005</v>
      </c>
      <c r="F4" s="32">
        <v>12.3</v>
      </c>
      <c r="G4" s="32">
        <f>F4*AD4</f>
        <v>10.765575000000002</v>
      </c>
      <c r="I4" s="32">
        <f>H4*AD4</f>
        <v>0</v>
      </c>
      <c r="J4" s="32">
        <f>3+26</f>
        <v>29</v>
      </c>
      <c r="K4" s="32">
        <f>J4*AD4</f>
        <v>25.382250000000003</v>
      </c>
      <c r="L4" s="32">
        <v>60</v>
      </c>
      <c r="M4" s="32">
        <f>L4*AD4</f>
        <v>52.51500000000001</v>
      </c>
      <c r="O4" s="32">
        <f>N4*AD4</f>
        <v>0</v>
      </c>
      <c r="Q4" s="32">
        <f>P4*AD4</f>
        <v>0</v>
      </c>
      <c r="T4" s="32" t="s">
        <v>137</v>
      </c>
      <c r="AB4" s="32" t="s">
        <v>199</v>
      </c>
      <c r="AC4" s="32">
        <f>B4+D4+F4+H4+J4+L4+N4+P4</f>
        <v>141.3</v>
      </c>
      <c r="AD4" s="53">
        <v>0.8752500000000001</v>
      </c>
      <c r="AE4" s="53">
        <f>AC4*AD4</f>
        <v>123.67282500000002</v>
      </c>
      <c r="AG4" s="32">
        <v>18</v>
      </c>
      <c r="AO4" s="32" t="s">
        <v>149</v>
      </c>
      <c r="AP4" s="32">
        <f>COUNTA(W2:W49)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43163</v>
      </c>
      <c r="B5" s="32">
        <f>3.5*2+20*4</f>
        <v>87</v>
      </c>
      <c r="C5" s="32">
        <f>B5*AD5</f>
        <v>76.14675000000001</v>
      </c>
      <c r="E5" s="32">
        <f>D5*AD5</f>
        <v>0</v>
      </c>
      <c r="F5" s="32">
        <f>13.5+4</f>
        <v>17.5</v>
      </c>
      <c r="G5" s="32">
        <f>F5*AD5</f>
        <v>15.316875000000001</v>
      </c>
      <c r="H5" s="32">
        <f>20*2</f>
        <v>40</v>
      </c>
      <c r="I5" s="32">
        <f>H5*AD5</f>
        <v>35.010000000000005</v>
      </c>
      <c r="K5" s="32">
        <f>J5*AD5</f>
        <v>0</v>
      </c>
      <c r="L5" s="32">
        <v>40</v>
      </c>
      <c r="M5" s="32">
        <f>L5*AD5</f>
        <v>35.010000000000005</v>
      </c>
      <c r="O5" s="32">
        <f>N5*AD5</f>
        <v>0</v>
      </c>
      <c r="Q5" s="32">
        <f>P5*AD5</f>
        <v>0</v>
      </c>
      <c r="T5" s="32" t="s">
        <v>137</v>
      </c>
      <c r="AB5" s="32" t="s">
        <v>200</v>
      </c>
      <c r="AC5" s="32">
        <f>B5+D5+F5+H5+J5+L5+N5+P5</f>
        <v>184.5</v>
      </c>
      <c r="AD5" s="53">
        <v>0.8752500000000001</v>
      </c>
      <c r="AE5" s="53">
        <f>AC5*AD5</f>
        <v>161.48362500000002</v>
      </c>
      <c r="AG5" s="32">
        <v>18</v>
      </c>
      <c r="AI5" s="32" t="s">
        <v>153</v>
      </c>
      <c r="AJ5" s="32">
        <f>COUNTA(A2:A349)</f>
        <v>31</v>
      </c>
      <c r="AO5" s="32" t="s">
        <v>154</v>
      </c>
      <c r="AP5" s="32">
        <f>COUNTA(R2:R49)</f>
        <v>0</v>
      </c>
    </row>
    <row r="6" spans="1:42" ht="14.25">
      <c r="A6" s="56">
        <v>43164</v>
      </c>
      <c r="C6" s="32">
        <f>B6*AD6</f>
        <v>0</v>
      </c>
      <c r="E6" s="32">
        <f>D6*AD6</f>
        <v>0</v>
      </c>
      <c r="F6" s="32">
        <f>14</f>
        <v>14</v>
      </c>
      <c r="G6" s="32">
        <f>F6*AD6</f>
        <v>12.2535</v>
      </c>
      <c r="I6" s="32">
        <f>H6*AD6</f>
        <v>0</v>
      </c>
      <c r="K6" s="32">
        <f>J6*AD6</f>
        <v>0</v>
      </c>
      <c r="L6" s="32">
        <v>40</v>
      </c>
      <c r="M6" s="32">
        <f>L6*AD6</f>
        <v>35.010000000000005</v>
      </c>
      <c r="O6" s="32">
        <f>N6*AD6</f>
        <v>0</v>
      </c>
      <c r="Q6" s="32">
        <f>P6*AD6</f>
        <v>0</v>
      </c>
      <c r="T6" s="32" t="s">
        <v>137</v>
      </c>
      <c r="AB6" s="32" t="s">
        <v>200</v>
      </c>
      <c r="AC6" s="32">
        <f>B6+D6+F6+H6+J6+L6+N6+P6</f>
        <v>54</v>
      </c>
      <c r="AD6" s="53">
        <v>0.8752500000000001</v>
      </c>
      <c r="AE6" s="53">
        <f>AC6*AD6</f>
        <v>47.26350000000001</v>
      </c>
      <c r="AG6" s="32">
        <v>18</v>
      </c>
      <c r="AI6" s="59"/>
      <c r="AO6" s="32" t="s">
        <v>156</v>
      </c>
      <c r="AP6" s="32">
        <f>COUNTA(T2:T49)</f>
        <v>26</v>
      </c>
    </row>
    <row r="7" spans="1:42" ht="14.25">
      <c r="A7" s="56">
        <v>43165</v>
      </c>
      <c r="B7" s="32">
        <f>3.5*2</f>
        <v>7</v>
      </c>
      <c r="C7" s="32">
        <f>B7*AD7</f>
        <v>6.12675</v>
      </c>
      <c r="D7" s="32">
        <f>8.9+8.7</f>
        <v>17.6</v>
      </c>
      <c r="E7" s="32">
        <f>D7*AD7</f>
        <v>15.404400000000003</v>
      </c>
      <c r="F7" s="32">
        <f>12.5</f>
        <v>12.5</v>
      </c>
      <c r="G7" s="32">
        <f>F7*AD7</f>
        <v>10.940625</v>
      </c>
      <c r="I7" s="32">
        <f>H7*AD7</f>
        <v>0</v>
      </c>
      <c r="K7" s="32">
        <f>J7*AD7</f>
        <v>0</v>
      </c>
      <c r="L7" s="32">
        <v>44</v>
      </c>
      <c r="M7" s="32">
        <f>L7*AD7</f>
        <v>38.511</v>
      </c>
      <c r="O7" s="32">
        <f>N7*AD7</f>
        <v>0</v>
      </c>
      <c r="P7" s="32">
        <f>55*2</f>
        <v>110</v>
      </c>
      <c r="Q7" s="32">
        <f>P7*AD7</f>
        <v>96.2775</v>
      </c>
      <c r="T7" s="32" t="s">
        <v>137</v>
      </c>
      <c r="AB7" s="32" t="s">
        <v>199</v>
      </c>
      <c r="AC7" s="32">
        <f>B7+D7+F7+H7+J7+L7+N7+P7</f>
        <v>191.1</v>
      </c>
      <c r="AD7" s="53">
        <v>0.8752500000000001</v>
      </c>
      <c r="AE7" s="53">
        <f>AC7*AD7</f>
        <v>167.260275</v>
      </c>
      <c r="AG7" s="32">
        <v>18</v>
      </c>
      <c r="AL7" s="32" t="s">
        <v>158</v>
      </c>
      <c r="AO7" s="32" t="s">
        <v>126</v>
      </c>
      <c r="AP7" s="32">
        <f>COUNTA(U2:U49)</f>
        <v>0</v>
      </c>
    </row>
    <row r="8" spans="1:42" ht="14.25">
      <c r="A8" s="56">
        <v>43166</v>
      </c>
      <c r="C8" s="32">
        <f>B8*AD8</f>
        <v>0</v>
      </c>
      <c r="E8" s="32">
        <f>D8*AD8</f>
        <v>0</v>
      </c>
      <c r="F8" s="32">
        <v>11</v>
      </c>
      <c r="G8" s="32">
        <f>F8*AD8</f>
        <v>9.62775</v>
      </c>
      <c r="I8" s="32">
        <f>H8*AD8</f>
        <v>0</v>
      </c>
      <c r="K8" s="32">
        <f>J8*AD8</f>
        <v>0</v>
      </c>
      <c r="L8" s="32">
        <v>44</v>
      </c>
      <c r="M8" s="32">
        <f>L8*AD8</f>
        <v>38.511</v>
      </c>
      <c r="O8" s="32">
        <f>N8*AD8</f>
        <v>0</v>
      </c>
      <c r="Q8" s="32">
        <f>P8*AD8</f>
        <v>0</v>
      </c>
      <c r="T8" s="32" t="s">
        <v>137</v>
      </c>
      <c r="AB8" s="32" t="s">
        <v>199</v>
      </c>
      <c r="AC8" s="32">
        <f>B8+D8+F8+H8+J8+L8+N8+P8</f>
        <v>55</v>
      </c>
      <c r="AD8" s="53">
        <v>0.8752500000000001</v>
      </c>
      <c r="AE8" s="53">
        <f>AC8*AD8</f>
        <v>48.13875</v>
      </c>
      <c r="AG8" s="32">
        <v>18</v>
      </c>
      <c r="AI8" s="32" t="s">
        <v>160</v>
      </c>
      <c r="AJ8" s="55">
        <f>SUM(M2:M994)</f>
        <v>1323.4785</v>
      </c>
      <c r="AL8" s="32" t="s">
        <v>119</v>
      </c>
      <c r="AM8" s="55">
        <f>AJ8/$AJ$5</f>
        <v>42.69285483870968</v>
      </c>
      <c r="AO8" s="32" t="s">
        <v>161</v>
      </c>
      <c r="AP8" s="32">
        <f>COUNTA(S2:S49)</f>
        <v>0</v>
      </c>
    </row>
    <row r="9" spans="1:42" ht="14.25">
      <c r="A9" s="56">
        <v>43167</v>
      </c>
      <c r="B9" s="1"/>
      <c r="C9" s="32">
        <f>B9*AD9</f>
        <v>0</v>
      </c>
      <c r="D9" s="32">
        <f>8.1+24</f>
        <v>32.1</v>
      </c>
      <c r="E9" s="32">
        <f>D9*AD9</f>
        <v>28.095525000000006</v>
      </c>
      <c r="F9" s="32">
        <v>9.8</v>
      </c>
      <c r="G9" s="32">
        <f>F9*AD9</f>
        <v>8.57745</v>
      </c>
      <c r="I9" s="32">
        <f>H9*AD9</f>
        <v>0</v>
      </c>
      <c r="K9" s="32">
        <f>J9*AD9</f>
        <v>0</v>
      </c>
      <c r="L9" s="32">
        <v>44</v>
      </c>
      <c r="M9" s="32">
        <f>L9*AD9</f>
        <v>38.511</v>
      </c>
      <c r="O9" s="32">
        <f>N9*AD9</f>
        <v>0</v>
      </c>
      <c r="Q9" s="32">
        <f>P9*AD9</f>
        <v>0</v>
      </c>
      <c r="T9" s="32" t="s">
        <v>137</v>
      </c>
      <c r="AB9" s="32" t="s">
        <v>199</v>
      </c>
      <c r="AC9" s="32">
        <f>B9+D9+F9+H9+J9+L9+N9+P9</f>
        <v>85.9</v>
      </c>
      <c r="AD9" s="53">
        <v>0.8752500000000001</v>
      </c>
      <c r="AE9" s="53">
        <f>AC9*AD9</f>
        <v>75.18397500000002</v>
      </c>
      <c r="AG9" s="32">
        <v>18</v>
      </c>
      <c r="AI9" s="32" t="s">
        <v>163</v>
      </c>
      <c r="AJ9" s="55">
        <f>SUM(C2:C994)</f>
        <v>741.4089250000001</v>
      </c>
      <c r="AL9" s="32" t="s">
        <v>109</v>
      </c>
      <c r="AM9" s="55">
        <f>AJ9/$AJ$5</f>
        <v>23.916416935483873</v>
      </c>
      <c r="AO9" s="32" t="s">
        <v>127</v>
      </c>
      <c r="AP9" s="32">
        <f>COUNTA(V2:V50)</f>
        <v>0</v>
      </c>
    </row>
    <row r="10" spans="1:42" ht="14.25">
      <c r="A10" s="56">
        <v>43168</v>
      </c>
      <c r="C10" s="32">
        <f>B10*AD10</f>
        <v>0</v>
      </c>
      <c r="D10" s="32">
        <f>4.75+0.4+1.3</f>
        <v>6.45</v>
      </c>
      <c r="E10" s="32">
        <f>D10*AD10</f>
        <v>5.645362500000001</v>
      </c>
      <c r="F10" s="32">
        <v>9.8</v>
      </c>
      <c r="G10" s="32">
        <f>F10*AD10</f>
        <v>8.57745</v>
      </c>
      <c r="I10" s="32">
        <f>H10*AD10</f>
        <v>0</v>
      </c>
      <c r="K10" s="32">
        <f>J10*AD10</f>
        <v>0</v>
      </c>
      <c r="L10" s="32">
        <v>44</v>
      </c>
      <c r="M10" s="32">
        <f>L10*AD10</f>
        <v>38.511</v>
      </c>
      <c r="O10" s="32">
        <f>N10*AD10</f>
        <v>0</v>
      </c>
      <c r="Q10" s="32">
        <f>P10*AD10</f>
        <v>0</v>
      </c>
      <c r="T10" s="32" t="s">
        <v>137</v>
      </c>
      <c r="AB10" s="32" t="s">
        <v>199</v>
      </c>
      <c r="AC10" s="32">
        <f>B10+D10+F10+H10+J10+L10+N10+P10</f>
        <v>60.25</v>
      </c>
      <c r="AD10" s="53">
        <v>0.8752500000000001</v>
      </c>
      <c r="AE10" s="53">
        <f>AC10*AD10</f>
        <v>52.733812500000006</v>
      </c>
      <c r="AG10" s="32">
        <v>18</v>
      </c>
      <c r="AI10" s="32" t="s">
        <v>164</v>
      </c>
      <c r="AJ10" s="55">
        <f>SUM(E2:E994)</f>
        <v>472.7653150000001</v>
      </c>
      <c r="AL10" s="32" t="s">
        <v>51</v>
      </c>
      <c r="AM10" s="55">
        <f>AJ10/$AJ$5</f>
        <v>15.250494032258068</v>
      </c>
      <c r="AO10" s="32" t="s">
        <v>130</v>
      </c>
      <c r="AP10" s="32">
        <f>COUNTA(Y2:Y51)</f>
        <v>4</v>
      </c>
    </row>
    <row r="11" spans="1:42" ht="14.25">
      <c r="A11" s="56">
        <v>43169</v>
      </c>
      <c r="B11" s="32">
        <f>2*2+70*2</f>
        <v>144</v>
      </c>
      <c r="C11" s="32">
        <f>B11*AD11</f>
        <v>126.03600000000002</v>
      </c>
      <c r="D11" s="32">
        <f>8.8</f>
        <v>8.8</v>
      </c>
      <c r="E11" s="32">
        <f>D11*AD11</f>
        <v>7.702200000000001</v>
      </c>
      <c r="F11" s="32">
        <f>12+20</f>
        <v>32</v>
      </c>
      <c r="G11" s="32">
        <f>F11*AD11</f>
        <v>28.008000000000003</v>
      </c>
      <c r="I11" s="32">
        <f>H11*AD11</f>
        <v>0</v>
      </c>
      <c r="J11" s="32">
        <f>0.8</f>
        <v>0.8</v>
      </c>
      <c r="K11" s="32">
        <f>J11*AD11</f>
        <v>0.7002000000000002</v>
      </c>
      <c r="M11" s="32">
        <f>L11*AD11</f>
        <v>0</v>
      </c>
      <c r="O11" s="32">
        <f>N11*AD11</f>
        <v>0</v>
      </c>
      <c r="Q11" s="32">
        <f>P11*AD11</f>
        <v>0</v>
      </c>
      <c r="Z11" s="32" t="s">
        <v>137</v>
      </c>
      <c r="AB11" s="60" t="s">
        <v>201</v>
      </c>
      <c r="AC11" s="32">
        <f>B11+D11+F11+H11+J11+L11+N11+P11</f>
        <v>185.60000000000002</v>
      </c>
      <c r="AD11" s="53">
        <v>0.8752500000000001</v>
      </c>
      <c r="AE11" s="53">
        <f>AC11*AD11</f>
        <v>162.44640000000004</v>
      </c>
      <c r="AG11" s="32">
        <v>18</v>
      </c>
      <c r="AI11" s="32" t="s">
        <v>165</v>
      </c>
      <c r="AJ11" s="55">
        <f>SUM(G2:G994)</f>
        <v>388.4283250000002</v>
      </c>
      <c r="AL11" s="32" t="s">
        <v>166</v>
      </c>
      <c r="AM11" s="55">
        <f>AJ11/$AJ$5</f>
        <v>12.529945967741941</v>
      </c>
      <c r="AO11" s="32" t="s">
        <v>167</v>
      </c>
      <c r="AP11" s="32">
        <f>COUNTA(Z2:Z52)</f>
        <v>1</v>
      </c>
    </row>
    <row r="12" spans="1:39" ht="14.25">
      <c r="A12" s="56">
        <v>43170</v>
      </c>
      <c r="B12" s="32">
        <f>3.5</f>
        <v>3.5</v>
      </c>
      <c r="C12" s="32">
        <f>B12*AD12</f>
        <v>3.063375</v>
      </c>
      <c r="D12" s="32">
        <f>27.3+0.3</f>
        <v>27.6</v>
      </c>
      <c r="E12" s="32">
        <f>D12*AD12</f>
        <v>24.156900000000004</v>
      </c>
      <c r="F12" s="32">
        <f>12.3</f>
        <v>12.3</v>
      </c>
      <c r="G12" s="32">
        <f>F12*AD12</f>
        <v>10.765575000000002</v>
      </c>
      <c r="I12" s="32">
        <f>H12*AD12</f>
        <v>0</v>
      </c>
      <c r="J12" s="32">
        <v>0.6000000000000001</v>
      </c>
      <c r="K12" s="32">
        <f>J12*AD12</f>
        <v>0.5251500000000001</v>
      </c>
      <c r="L12" s="32">
        <f>39</f>
        <v>39</v>
      </c>
      <c r="M12" s="32">
        <f>L12*AD12</f>
        <v>34.134750000000004</v>
      </c>
      <c r="O12" s="32">
        <f>N12*AD12</f>
        <v>0</v>
      </c>
      <c r="Q12" s="32">
        <f>P12*AD12</f>
        <v>0</v>
      </c>
      <c r="T12" s="32" t="s">
        <v>137</v>
      </c>
      <c r="AB12" s="60" t="s">
        <v>202</v>
      </c>
      <c r="AC12" s="32">
        <f>B12+D12+F12+H12+J12+L12+N12+P12</f>
        <v>83</v>
      </c>
      <c r="AD12" s="53">
        <v>0.8752500000000001</v>
      </c>
      <c r="AE12" s="53">
        <f>AC12*AD12</f>
        <v>72.64575</v>
      </c>
      <c r="AG12" s="32">
        <v>18</v>
      </c>
      <c r="AI12" s="32" t="s">
        <v>168</v>
      </c>
      <c r="AJ12" s="55">
        <f>SUM(K2:K994)</f>
        <v>28.008000000000003</v>
      </c>
      <c r="AL12" s="32" t="s">
        <v>117</v>
      </c>
      <c r="AM12" s="55">
        <f>AJ12/$AJ$5</f>
        <v>0.9034838709677421</v>
      </c>
    </row>
    <row r="13" spans="1:39" ht="14.25">
      <c r="A13" s="56">
        <v>43171</v>
      </c>
      <c r="B13" s="1"/>
      <c r="C13" s="32">
        <f>B13*AD13</f>
        <v>0</v>
      </c>
      <c r="D13" s="32">
        <f>20.2+0.3</f>
        <v>20.5</v>
      </c>
      <c r="E13" s="32">
        <f>D13*AD13</f>
        <v>17.942625000000003</v>
      </c>
      <c r="F13" s="32">
        <v>14.3</v>
      </c>
      <c r="G13" s="32">
        <f>F13*AD13</f>
        <v>12.516075000000003</v>
      </c>
      <c r="I13" s="32">
        <f>H13*AD13</f>
        <v>0</v>
      </c>
      <c r="J13" s="32">
        <v>1.6</v>
      </c>
      <c r="K13" s="32">
        <f>J13*AD13</f>
        <v>1.4004000000000003</v>
      </c>
      <c r="L13" s="32">
        <v>39</v>
      </c>
      <c r="M13" s="32">
        <f>L13*AD13</f>
        <v>34.134750000000004</v>
      </c>
      <c r="O13" s="32">
        <f>N13*AD13</f>
        <v>0</v>
      </c>
      <c r="Q13" s="32">
        <f>P13*AD13</f>
        <v>0</v>
      </c>
      <c r="T13" s="32" t="s">
        <v>137</v>
      </c>
      <c r="AB13" s="60" t="s">
        <v>202</v>
      </c>
      <c r="AC13" s="32">
        <f>B13+D13+F13+H13+J13+L13+N13+P13</f>
        <v>75.4</v>
      </c>
      <c r="AD13" s="53">
        <v>0.8752500000000001</v>
      </c>
      <c r="AE13" s="53">
        <f>AC13*AD13</f>
        <v>65.99385000000001</v>
      </c>
      <c r="AG13" s="32">
        <v>18</v>
      </c>
      <c r="AI13" s="32" t="s">
        <v>169</v>
      </c>
      <c r="AJ13" s="55">
        <f>SUM(I2:I994)</f>
        <v>97.94</v>
      </c>
      <c r="AL13" s="32" t="s">
        <v>115</v>
      </c>
      <c r="AM13" s="55">
        <f>AJ13/$AJ$5</f>
        <v>3.1593548387096773</v>
      </c>
    </row>
    <row r="14" spans="1:36" ht="14.25">
      <c r="A14" s="56">
        <v>43172</v>
      </c>
      <c r="C14" s="32">
        <f>B14*AD14</f>
        <v>0</v>
      </c>
      <c r="D14" s="32">
        <f>22.4+2.6+0.6</f>
        <v>25.6</v>
      </c>
      <c r="E14" s="32">
        <f>D14*AD14</f>
        <v>22.406400000000005</v>
      </c>
      <c r="F14" s="32">
        <v>14.3</v>
      </c>
      <c r="G14" s="32">
        <f>F14*AD14</f>
        <v>12.516075000000003</v>
      </c>
      <c r="I14" s="32">
        <f>H14*AD14</f>
        <v>0</v>
      </c>
      <c r="K14" s="32">
        <f>J14*AD14</f>
        <v>0</v>
      </c>
      <c r="L14" s="32">
        <v>39</v>
      </c>
      <c r="M14" s="32">
        <f>L14*AD14</f>
        <v>34.134750000000004</v>
      </c>
      <c r="O14" s="32">
        <f>N14*AD14</f>
        <v>0</v>
      </c>
      <c r="Q14" s="32">
        <f>P14*AD14</f>
        <v>0</v>
      </c>
      <c r="T14" s="32" t="s">
        <v>137</v>
      </c>
      <c r="AB14" s="60" t="s">
        <v>202</v>
      </c>
      <c r="AC14" s="32">
        <f>B14+D14+F14+H14+J14+L14+N14+P14</f>
        <v>78.9</v>
      </c>
      <c r="AD14" s="53">
        <v>0.8752500000000001</v>
      </c>
      <c r="AE14" s="53">
        <f>AC14*AD14</f>
        <v>69.05722500000002</v>
      </c>
      <c r="AG14" s="32">
        <v>18</v>
      </c>
      <c r="AI14" s="32" t="s">
        <v>171</v>
      </c>
      <c r="AJ14" s="55">
        <f>SUM(O2:O994)</f>
        <v>0</v>
      </c>
    </row>
    <row r="15" spans="1:36" ht="14.25">
      <c r="A15" s="56">
        <v>43173</v>
      </c>
      <c r="B15" s="32">
        <f>1.6*2+50*2</f>
        <v>103.2</v>
      </c>
      <c r="C15" s="32">
        <f>B15*AD15</f>
        <v>90.32580000000002</v>
      </c>
      <c r="E15" s="32">
        <f>D15*AD15</f>
        <v>0</v>
      </c>
      <c r="G15" s="32">
        <f>F15*AD15</f>
        <v>0</v>
      </c>
      <c r="I15" s="32">
        <f>H15*AD15</f>
        <v>0</v>
      </c>
      <c r="K15" s="32">
        <f>J15*AD15</f>
        <v>0</v>
      </c>
      <c r="M15" s="32">
        <f>L15*AD15</f>
        <v>0</v>
      </c>
      <c r="O15" s="32">
        <f>N15*AD15</f>
        <v>0</v>
      </c>
      <c r="Q15" s="32">
        <f>P15*AD15</f>
        <v>0</v>
      </c>
      <c r="AB15" s="60" t="s">
        <v>203</v>
      </c>
      <c r="AC15" s="32">
        <f>B15+D15+F15+H15+J15+L15+N15+P15</f>
        <v>103.2</v>
      </c>
      <c r="AD15" s="53">
        <v>0.8752500000000001</v>
      </c>
      <c r="AE15" s="53">
        <f>AC15*AD15</f>
        <v>90.32580000000002</v>
      </c>
      <c r="AG15" s="32">
        <v>18</v>
      </c>
      <c r="AI15" s="32" t="s">
        <v>173</v>
      </c>
      <c r="AJ15" s="32">
        <f>SUM(Q2:Q60)</f>
        <v>96.2775</v>
      </c>
    </row>
    <row r="16" spans="1:35" ht="14.25">
      <c r="A16" s="56"/>
      <c r="B16" s="32">
        <v>2</v>
      </c>
      <c r="C16" s="32">
        <f>B16*AD16</f>
        <v>5.236</v>
      </c>
      <c r="D16" s="32">
        <f>9.51+1.2+1.9</f>
        <v>12.61</v>
      </c>
      <c r="E16" s="32">
        <f>D16*AD16</f>
        <v>33.01298</v>
      </c>
      <c r="G16" s="32">
        <f>F16*AD16</f>
        <v>0</v>
      </c>
      <c r="I16" s="32">
        <f>H16*AD16</f>
        <v>0</v>
      </c>
      <c r="K16" s="32">
        <f>J16*AD16</f>
        <v>0</v>
      </c>
      <c r="L16" s="32">
        <v>30</v>
      </c>
      <c r="M16" s="32">
        <f>L16*AD16</f>
        <v>78.53999999999999</v>
      </c>
      <c r="O16" s="32">
        <f>N16*AD16</f>
        <v>0</v>
      </c>
      <c r="Q16" s="32">
        <f>P16*AD16</f>
        <v>0</v>
      </c>
      <c r="Y16" s="32" t="s">
        <v>137</v>
      </c>
      <c r="AB16" s="60"/>
      <c r="AC16" s="32">
        <f>B16+D16+F16+H16+J16+L16+N16+P16</f>
        <v>44.61</v>
      </c>
      <c r="AD16" s="53">
        <v>2.618</v>
      </c>
      <c r="AE16" s="53">
        <f>AC16*AD16</f>
        <v>116.78898</v>
      </c>
      <c r="AG16" s="32">
        <v>20</v>
      </c>
      <c r="AI16" s="59"/>
    </row>
    <row r="17" spans="1:44" ht="14.25">
      <c r="A17" s="56">
        <v>43174</v>
      </c>
      <c r="B17" s="32">
        <f>6</f>
        <v>6</v>
      </c>
      <c r="C17" s="32">
        <f>B17*AD17</f>
        <v>15.707999999999998</v>
      </c>
      <c r="D17" s="32">
        <f>9.77</f>
        <v>9.77</v>
      </c>
      <c r="E17" s="32">
        <f>D17*AD17</f>
        <v>25.577859999999998</v>
      </c>
      <c r="F17" s="32">
        <v>7</v>
      </c>
      <c r="G17" s="32">
        <f>F17*AD17</f>
        <v>18.326</v>
      </c>
      <c r="I17" s="32">
        <f>H17*AD17</f>
        <v>0</v>
      </c>
      <c r="K17" s="32">
        <f>J17*AD17</f>
        <v>0</v>
      </c>
      <c r="L17" s="32">
        <v>30</v>
      </c>
      <c r="M17" s="32">
        <f>L17*AD17</f>
        <v>78.53999999999999</v>
      </c>
      <c r="O17" s="32">
        <f>N17*AD17</f>
        <v>0</v>
      </c>
      <c r="Q17" s="32">
        <f>P17*AD17</f>
        <v>0</v>
      </c>
      <c r="Y17" s="32" t="s">
        <v>137</v>
      </c>
      <c r="AB17" s="60" t="s">
        <v>204</v>
      </c>
      <c r="AC17" s="32">
        <f>B17+D17+F17+H17+J17+L17+N17+P17</f>
        <v>52.769999999999996</v>
      </c>
      <c r="AD17" s="53">
        <v>2.618</v>
      </c>
      <c r="AE17" s="53">
        <f>AC17*AD17</f>
        <v>138.15185999999997</v>
      </c>
      <c r="AG17" s="32">
        <v>20</v>
      </c>
      <c r="AR17" s="54"/>
    </row>
    <row r="18" spans="1:44" ht="14.25">
      <c r="A18" s="56">
        <v>43175</v>
      </c>
      <c r="C18" s="32">
        <f>B18*AD18</f>
        <v>0</v>
      </c>
      <c r="D18" s="32">
        <v>8.27</v>
      </c>
      <c r="E18" s="32">
        <f>D18*AD18</f>
        <v>21.915499999999998</v>
      </c>
      <c r="G18" s="32">
        <f>F18*AD18</f>
        <v>0</v>
      </c>
      <c r="I18" s="32">
        <f>H18*AD18</f>
        <v>0</v>
      </c>
      <c r="K18" s="32">
        <f>J18*AD18</f>
        <v>0</v>
      </c>
      <c r="L18" s="32">
        <v>30</v>
      </c>
      <c r="M18" s="32">
        <f>L18*AD18</f>
        <v>79.5</v>
      </c>
      <c r="O18" s="32">
        <f>N18*AD18</f>
        <v>0</v>
      </c>
      <c r="Q18" s="32">
        <f>P18*AD18</f>
        <v>0</v>
      </c>
      <c r="Y18" s="32" t="s">
        <v>137</v>
      </c>
      <c r="AB18" s="60" t="s">
        <v>204</v>
      </c>
      <c r="AC18" s="32">
        <f>B18+D18+F18+H18+J18+L18+N18+P18</f>
        <v>38.269999999999996</v>
      </c>
      <c r="AD18" s="53">
        <v>2.65</v>
      </c>
      <c r="AE18" s="53">
        <f>AC18*AD18</f>
        <v>101.41549999999998</v>
      </c>
      <c r="AG18" s="32">
        <v>20</v>
      </c>
      <c r="AI18" s="32" t="s">
        <v>177</v>
      </c>
      <c r="AJ18" s="32">
        <f>SUM(AA2:AA50)</f>
        <v>0</v>
      </c>
      <c r="AR18" s="54"/>
    </row>
    <row r="19" spans="1:33" ht="14.25">
      <c r="A19" s="56">
        <v>43176</v>
      </c>
      <c r="B19" s="32">
        <f>4</f>
        <v>4</v>
      </c>
      <c r="C19" s="32">
        <f>B19*AD19</f>
        <v>10.6</v>
      </c>
      <c r="D19" s="32">
        <f>3.22+6.47+0.7</f>
        <v>10.389999999999999</v>
      </c>
      <c r="E19" s="32">
        <f>D19*AD19</f>
        <v>27.533499999999997</v>
      </c>
      <c r="G19" s="32">
        <f>F19*AD19</f>
        <v>0</v>
      </c>
      <c r="I19" s="32">
        <f>H19*AD19</f>
        <v>0</v>
      </c>
      <c r="K19" s="32">
        <f>J19*AD19</f>
        <v>0</v>
      </c>
      <c r="L19" s="32">
        <v>30</v>
      </c>
      <c r="M19" s="32">
        <f>L19*AD19</f>
        <v>79.5</v>
      </c>
      <c r="O19" s="32">
        <f>N19*AD19</f>
        <v>0</v>
      </c>
      <c r="Q19" s="32">
        <f>P19*AD19</f>
        <v>0</v>
      </c>
      <c r="Y19" s="32" t="s">
        <v>137</v>
      </c>
      <c r="AB19" s="60" t="s">
        <v>204</v>
      </c>
      <c r="AC19" s="32">
        <f>B19+D19+F19+H19+J19+L19+N19+P19</f>
        <v>44.39</v>
      </c>
      <c r="AD19" s="53">
        <v>2.65</v>
      </c>
      <c r="AE19" s="53">
        <f>AC19*AD19</f>
        <v>117.6335</v>
      </c>
      <c r="AG19" s="32">
        <v>20</v>
      </c>
    </row>
    <row r="20" spans="1:33" ht="14.25">
      <c r="A20" s="56">
        <v>43177</v>
      </c>
      <c r="B20" s="32">
        <f>4+19*2+4-4</f>
        <v>42</v>
      </c>
      <c r="C20" s="32">
        <f>B20*AD20</f>
        <v>111.3</v>
      </c>
      <c r="D20" s="32">
        <f>2.2+3</f>
        <v>5.2</v>
      </c>
      <c r="E20" s="32">
        <f>D20*AD20</f>
        <v>13.78</v>
      </c>
      <c r="G20" s="32">
        <f>F20*AD20</f>
        <v>0</v>
      </c>
      <c r="I20" s="32">
        <f>H20*AD20</f>
        <v>0</v>
      </c>
      <c r="K20" s="32">
        <f>J20*AD20</f>
        <v>0</v>
      </c>
      <c r="M20" s="32">
        <f>L20*AD20</f>
        <v>0</v>
      </c>
      <c r="O20" s="32">
        <f>N20*AD20</f>
        <v>0</v>
      </c>
      <c r="Q20" s="32">
        <f>P20*AD20</f>
        <v>0</v>
      </c>
      <c r="AB20" s="60" t="s">
        <v>205</v>
      </c>
      <c r="AC20" s="32">
        <f>B20+D20+F20+H20+J20+L20+N20+P20</f>
        <v>47.2</v>
      </c>
      <c r="AD20" s="53">
        <v>2.65</v>
      </c>
      <c r="AE20" s="53">
        <f>AC20*AD20</f>
        <v>125.08</v>
      </c>
      <c r="AG20" s="32">
        <v>20</v>
      </c>
    </row>
    <row r="21" spans="1:33" ht="14.25">
      <c r="A21" s="56"/>
      <c r="C21" s="32">
        <f>B21*AD21</f>
        <v>0</v>
      </c>
      <c r="D21" s="32">
        <f>8.4+10.4</f>
        <v>18.8</v>
      </c>
      <c r="E21" s="32">
        <f>D21*AD21</f>
        <v>16.454700000000003</v>
      </c>
      <c r="G21" s="32">
        <f>F21*AD21</f>
        <v>0</v>
      </c>
      <c r="I21" s="32">
        <f>H21*AD21</f>
        <v>0</v>
      </c>
      <c r="K21" s="32">
        <f>J21*AD21</f>
        <v>0</v>
      </c>
      <c r="L21" s="32">
        <v>90</v>
      </c>
      <c r="M21" s="32">
        <f>L21*AD21</f>
        <v>78.77250000000001</v>
      </c>
      <c r="O21" s="32">
        <f>N21*AD21</f>
        <v>0</v>
      </c>
      <c r="Q21" s="32">
        <f>P21*AD21</f>
        <v>0</v>
      </c>
      <c r="T21" s="32" t="s">
        <v>137</v>
      </c>
      <c r="AB21" s="60"/>
      <c r="AC21" s="32">
        <f>B21+D21+F21+H21+J21+L21+N21+P21</f>
        <v>108.8</v>
      </c>
      <c r="AD21" s="53">
        <v>0.8752500000000001</v>
      </c>
      <c r="AE21" s="53">
        <f>AC21*AD21</f>
        <v>95.22720000000001</v>
      </c>
      <c r="AG21" s="32">
        <v>18</v>
      </c>
    </row>
    <row r="22" spans="1:33" ht="14.25">
      <c r="A22" s="56">
        <v>43178</v>
      </c>
      <c r="B22" s="32">
        <f>39*2</f>
        <v>78</v>
      </c>
      <c r="C22" s="32">
        <f>B22*AD22</f>
        <v>68.26950000000001</v>
      </c>
      <c r="D22" s="32">
        <f>10.9+5</f>
        <v>15.9</v>
      </c>
      <c r="E22" s="32">
        <f>D22*AD22</f>
        <v>13.916475000000002</v>
      </c>
      <c r="F22" s="32">
        <v>12</v>
      </c>
      <c r="G22" s="32">
        <f>F22*AD22</f>
        <v>10.503</v>
      </c>
      <c r="I22" s="32">
        <f>H22*AD22</f>
        <v>0</v>
      </c>
      <c r="K22" s="32">
        <f>J22*AD22</f>
        <v>0</v>
      </c>
      <c r="L22" s="32">
        <v>30</v>
      </c>
      <c r="M22" s="32">
        <f>L22*AD22</f>
        <v>26.257500000000004</v>
      </c>
      <c r="O22" s="32">
        <f>N22*AD22</f>
        <v>0</v>
      </c>
      <c r="Q22" s="32">
        <f>P22*AD22</f>
        <v>0</v>
      </c>
      <c r="T22" s="32" t="s">
        <v>137</v>
      </c>
      <c r="AB22" s="60" t="s">
        <v>206</v>
      </c>
      <c r="AC22" s="32">
        <f>B22+D22+F22+H22+J22+L22+N22+P22</f>
        <v>135.9</v>
      </c>
      <c r="AD22" s="53">
        <v>0.8752500000000001</v>
      </c>
      <c r="AE22" s="53">
        <f>AC22*AD22</f>
        <v>118.94647500000002</v>
      </c>
      <c r="AG22" s="32">
        <v>18</v>
      </c>
    </row>
    <row r="23" spans="1:33" ht="14.25">
      <c r="A23" s="56">
        <v>43179</v>
      </c>
      <c r="C23" s="32">
        <f>B23*AD23</f>
        <v>0</v>
      </c>
      <c r="D23" s="32">
        <v>25.8</v>
      </c>
      <c r="E23" s="32">
        <f>D23*AD23</f>
        <v>22.581450000000004</v>
      </c>
      <c r="F23" s="32">
        <v>14</v>
      </c>
      <c r="G23" s="32">
        <f>F23*AD23</f>
        <v>12.2535</v>
      </c>
      <c r="I23" s="32">
        <f>H23*AD23</f>
        <v>0</v>
      </c>
      <c r="K23" s="32">
        <f>J23*AD23</f>
        <v>0</v>
      </c>
      <c r="L23" s="32">
        <v>30</v>
      </c>
      <c r="M23" s="32">
        <f>L23*AD23</f>
        <v>26.257500000000004</v>
      </c>
      <c r="O23" s="32">
        <f>N23*AD23</f>
        <v>0</v>
      </c>
      <c r="Q23" s="32">
        <f>P23*AD23</f>
        <v>0</v>
      </c>
      <c r="T23" s="32" t="s">
        <v>137</v>
      </c>
      <c r="AB23" s="60" t="s">
        <v>207</v>
      </c>
      <c r="AC23" s="32">
        <f>B23+D23+F23+H23+J23+L23+N23+P23</f>
        <v>69.8</v>
      </c>
      <c r="AD23" s="53">
        <v>0.8752500000000001</v>
      </c>
      <c r="AE23" s="53">
        <f>AC23*AD23</f>
        <v>61.09245000000001</v>
      </c>
      <c r="AG23" s="32">
        <v>18</v>
      </c>
    </row>
    <row r="24" spans="1:33" ht="14.25">
      <c r="A24" s="56">
        <v>43180</v>
      </c>
      <c r="C24" s="32">
        <f>B24*AD24</f>
        <v>0</v>
      </c>
      <c r="D24" s="32">
        <v>13.3</v>
      </c>
      <c r="E24" s="32">
        <f>D24*AD24</f>
        <v>11.640825000000001</v>
      </c>
      <c r="F24" s="32">
        <v>7</v>
      </c>
      <c r="G24" s="32">
        <f>F24*AD24</f>
        <v>6.12675</v>
      </c>
      <c r="I24" s="32">
        <f>H24*AD24</f>
        <v>0</v>
      </c>
      <c r="K24" s="32">
        <f>J24*AD24</f>
        <v>0</v>
      </c>
      <c r="L24" s="32">
        <v>35</v>
      </c>
      <c r="M24" s="32">
        <f>L24*AD24</f>
        <v>30.633750000000003</v>
      </c>
      <c r="O24" s="32">
        <f>N24*AD24</f>
        <v>0</v>
      </c>
      <c r="Q24" s="32">
        <f>P24*AD24</f>
        <v>0</v>
      </c>
      <c r="T24" s="32" t="s">
        <v>137</v>
      </c>
      <c r="AB24" s="60" t="s">
        <v>207</v>
      </c>
      <c r="AC24" s="32">
        <f>B24+D24+F24+H24+J24+L24+N24+P24</f>
        <v>55.3</v>
      </c>
      <c r="AD24" s="53">
        <v>0.8752500000000001</v>
      </c>
      <c r="AE24" s="53">
        <f>AC24*AD24</f>
        <v>48.401325</v>
      </c>
      <c r="AG24" s="32">
        <v>18</v>
      </c>
    </row>
    <row r="25" spans="1:33" ht="14.25">
      <c r="A25" s="56">
        <v>43181</v>
      </c>
      <c r="B25" s="32">
        <f>2*8+43.5*2</f>
        <v>103</v>
      </c>
      <c r="C25" s="32">
        <f>B25*AD25</f>
        <v>90.15075</v>
      </c>
      <c r="D25" s="32">
        <f>13.25</f>
        <v>13.25</v>
      </c>
      <c r="E25" s="32">
        <f>D25*AD25</f>
        <v>11.597062500000002</v>
      </c>
      <c r="F25" s="32">
        <v>12.1</v>
      </c>
      <c r="G25" s="32">
        <f>F25*AD25</f>
        <v>10.590525000000001</v>
      </c>
      <c r="I25" s="32">
        <f>H25*AD25</f>
        <v>0</v>
      </c>
      <c r="K25" s="32">
        <f>J25*AD25</f>
        <v>0</v>
      </c>
      <c r="L25" s="32">
        <v>35</v>
      </c>
      <c r="M25" s="32">
        <f>L25*AD25</f>
        <v>30.633750000000003</v>
      </c>
      <c r="O25" s="32">
        <f>N25*AD25</f>
        <v>0</v>
      </c>
      <c r="Q25" s="32">
        <f>P25*AD25</f>
        <v>0</v>
      </c>
      <c r="T25" s="32" t="s">
        <v>137</v>
      </c>
      <c r="AB25" s="60" t="s">
        <v>207</v>
      </c>
      <c r="AC25" s="32">
        <f>B25+D25+F25+H25+J25+L25+N25+P25</f>
        <v>163.35</v>
      </c>
      <c r="AD25" s="53">
        <v>0.8752500000000001</v>
      </c>
      <c r="AE25" s="53">
        <f>AC25*AD25</f>
        <v>142.97208750000001</v>
      </c>
      <c r="AG25" s="32">
        <v>18</v>
      </c>
    </row>
    <row r="26" spans="1:33" ht="14.25">
      <c r="A26" s="56">
        <v>43182</v>
      </c>
      <c r="C26" s="32">
        <f>B26*AD26</f>
        <v>0</v>
      </c>
      <c r="D26" s="32">
        <v>20.5</v>
      </c>
      <c r="E26" s="32">
        <f>D26*AD26</f>
        <v>17.942625000000003</v>
      </c>
      <c r="F26" s="32">
        <v>13.6</v>
      </c>
      <c r="G26" s="32">
        <f>F26*AD26</f>
        <v>11.903400000000001</v>
      </c>
      <c r="I26" s="32">
        <f>H26*AD26</f>
        <v>0</v>
      </c>
      <c r="K26" s="32">
        <f>J26*AD26</f>
        <v>0</v>
      </c>
      <c r="L26" s="32">
        <v>35</v>
      </c>
      <c r="M26" s="32">
        <f>L26*AD26</f>
        <v>30.633750000000003</v>
      </c>
      <c r="O26" s="32">
        <f>N26*AD26</f>
        <v>0</v>
      </c>
      <c r="Q26" s="32">
        <f>P26*AD26</f>
        <v>0</v>
      </c>
      <c r="T26" s="32" t="s">
        <v>137</v>
      </c>
      <c r="AB26" s="32" t="s">
        <v>207</v>
      </c>
      <c r="AC26" s="32">
        <f>B26+D26+F26+H26+J26+L26+N26+P26</f>
        <v>69.1</v>
      </c>
      <c r="AD26" s="53">
        <v>0.8752500000000001</v>
      </c>
      <c r="AE26" s="53">
        <f>AC26*AD26</f>
        <v>60.479775000000004</v>
      </c>
      <c r="AG26" s="32">
        <v>18</v>
      </c>
    </row>
    <row r="27" spans="1:33" ht="14.25">
      <c r="A27" s="56">
        <v>43183</v>
      </c>
      <c r="B27" s="32">
        <f>2*2+17</f>
        <v>21</v>
      </c>
      <c r="C27" s="32">
        <f>B27*AD27</f>
        <v>18.879</v>
      </c>
      <c r="E27" s="32">
        <f>D27*AD27</f>
        <v>0</v>
      </c>
      <c r="F27" s="32">
        <v>13</v>
      </c>
      <c r="G27" s="32">
        <f>F27*AD27</f>
        <v>11.687000000000001</v>
      </c>
      <c r="I27" s="32">
        <f>H27*AD27</f>
        <v>0</v>
      </c>
      <c r="K27" s="32">
        <f>J27*AD27</f>
        <v>0</v>
      </c>
      <c r="L27" s="32">
        <v>43.5</v>
      </c>
      <c r="M27" s="32">
        <f>L27*AD27</f>
        <v>39.106500000000004</v>
      </c>
      <c r="O27" s="32">
        <f>N27*AD27</f>
        <v>0</v>
      </c>
      <c r="Q27" s="32">
        <f>P27*AD27</f>
        <v>0</v>
      </c>
      <c r="T27" s="32" t="s">
        <v>137</v>
      </c>
      <c r="AB27" s="32" t="s">
        <v>208</v>
      </c>
      <c r="AC27" s="32">
        <f>B27+D27+F27+H27+J27+L27+N27+P27</f>
        <v>77.5</v>
      </c>
      <c r="AD27" s="53">
        <v>0.899</v>
      </c>
      <c r="AE27" s="53">
        <f>AC27*AD27</f>
        <v>69.6725</v>
      </c>
      <c r="AG27" s="32">
        <v>18</v>
      </c>
    </row>
    <row r="28" spans="1:33" ht="14.25">
      <c r="A28" s="56">
        <v>43184</v>
      </c>
      <c r="C28" s="32">
        <f>B28*AD28</f>
        <v>0</v>
      </c>
      <c r="D28" s="32">
        <f>7+0.3</f>
        <v>7.3</v>
      </c>
      <c r="E28" s="32">
        <f>D28*AD28</f>
        <v>6.5627</v>
      </c>
      <c r="F28" s="32">
        <f>15+14.8</f>
        <v>29.8</v>
      </c>
      <c r="G28" s="32">
        <f>F28*AD28</f>
        <v>26.790200000000002</v>
      </c>
      <c r="I28" s="32">
        <f>H28*AD28</f>
        <v>0</v>
      </c>
      <c r="K28" s="32">
        <f>J28*AD28</f>
        <v>0</v>
      </c>
      <c r="L28" s="32">
        <v>43.5</v>
      </c>
      <c r="M28" s="32">
        <f>L28*AD28</f>
        <v>39.106500000000004</v>
      </c>
      <c r="O28" s="32">
        <f>N28*AD28</f>
        <v>0</v>
      </c>
      <c r="Q28" s="32">
        <f>P28*AD28</f>
        <v>0</v>
      </c>
      <c r="T28" s="32" t="s">
        <v>137</v>
      </c>
      <c r="AB28" s="32" t="s">
        <v>209</v>
      </c>
      <c r="AC28" s="32">
        <f>B28+D28+F28+H28+J28+L28+N28+P28</f>
        <v>80.6</v>
      </c>
      <c r="AD28" s="53">
        <v>0.899</v>
      </c>
      <c r="AE28" s="53">
        <f>AC28*AD28</f>
        <v>72.4594</v>
      </c>
      <c r="AG28" s="32">
        <v>18</v>
      </c>
    </row>
    <row r="29" spans="1:33" ht="14.25">
      <c r="A29" s="56">
        <v>43185</v>
      </c>
      <c r="B29" s="32">
        <f>6*4</f>
        <v>24</v>
      </c>
      <c r="C29" s="32">
        <f>B29*AD29</f>
        <v>21.576</v>
      </c>
      <c r="D29" s="32">
        <f>4+0.4</f>
        <v>4.4</v>
      </c>
      <c r="E29" s="32">
        <f>D29*AD29</f>
        <v>3.9556000000000004</v>
      </c>
      <c r="F29" s="32">
        <f>14.2+11</f>
        <v>25.2</v>
      </c>
      <c r="G29" s="32">
        <f>F29*AD29</f>
        <v>22.6548</v>
      </c>
      <c r="H29" s="32">
        <f>30*2+10</f>
        <v>70</v>
      </c>
      <c r="I29" s="32">
        <f>H29*AD29</f>
        <v>62.93</v>
      </c>
      <c r="K29" s="32">
        <f>J29*AD29</f>
        <v>0</v>
      </c>
      <c r="L29" s="32">
        <v>43.5</v>
      </c>
      <c r="M29" s="32">
        <f>L29*AD29</f>
        <v>39.106500000000004</v>
      </c>
      <c r="O29" s="32">
        <f>N29*AD29</f>
        <v>0</v>
      </c>
      <c r="Q29" s="32">
        <f>P29*AD29</f>
        <v>0</v>
      </c>
      <c r="T29" s="32" t="s">
        <v>137</v>
      </c>
      <c r="AB29" s="32" t="s">
        <v>209</v>
      </c>
      <c r="AC29" s="32">
        <f>B29+D29+F29+H29+J29+L29+N29+P29</f>
        <v>167.1</v>
      </c>
      <c r="AD29" s="53">
        <v>0.899</v>
      </c>
      <c r="AE29" s="53">
        <f>AC29*AD29</f>
        <v>150.2229</v>
      </c>
      <c r="AG29" s="32">
        <v>18</v>
      </c>
    </row>
    <row r="30" spans="1:33" ht="14.25">
      <c r="A30" s="56">
        <v>43186</v>
      </c>
      <c r="C30" s="32">
        <f>B30*AD30</f>
        <v>0</v>
      </c>
      <c r="E30" s="32">
        <f>D30*AD30</f>
        <v>0</v>
      </c>
      <c r="F30" s="32">
        <f>13+11</f>
        <v>24</v>
      </c>
      <c r="G30" s="32">
        <f>F30*AD30</f>
        <v>21.576</v>
      </c>
      <c r="I30" s="32">
        <f>H30*AD30</f>
        <v>0</v>
      </c>
      <c r="K30" s="32">
        <f>J30*AD30</f>
        <v>0</v>
      </c>
      <c r="L30" s="32">
        <v>42</v>
      </c>
      <c r="M30" s="32">
        <f>L30*AD30</f>
        <v>37.758</v>
      </c>
      <c r="O30" s="32">
        <f>N30*AD30</f>
        <v>0</v>
      </c>
      <c r="Q30" s="32">
        <f>P30*AD30</f>
        <v>0</v>
      </c>
      <c r="T30" s="32" t="s">
        <v>137</v>
      </c>
      <c r="AB30" s="32" t="s">
        <v>209</v>
      </c>
      <c r="AC30" s="32">
        <f>B30+D30+F30+H30+J30+L30+N30+P30</f>
        <v>66</v>
      </c>
      <c r="AD30" s="53">
        <v>0.899</v>
      </c>
      <c r="AE30" s="53">
        <f>AC30*AD30</f>
        <v>59.334</v>
      </c>
      <c r="AG30" s="32">
        <v>18</v>
      </c>
    </row>
    <row r="31" spans="1:33" ht="14.25">
      <c r="A31" s="56">
        <v>43187</v>
      </c>
      <c r="B31" s="32">
        <f>3*4+43*2</f>
        <v>98</v>
      </c>
      <c r="C31" s="32">
        <f>B31*AD31</f>
        <v>88.102</v>
      </c>
      <c r="D31" s="32">
        <f>4+0.7</f>
        <v>4.7</v>
      </c>
      <c r="E31" s="32">
        <f>D31*AD31</f>
        <v>4.2253</v>
      </c>
      <c r="F31" s="32">
        <f>11+16.4</f>
        <v>27.4</v>
      </c>
      <c r="G31" s="32">
        <f>F31*AD31</f>
        <v>24.6326</v>
      </c>
      <c r="I31" s="32">
        <f>H31*AD31</f>
        <v>0</v>
      </c>
      <c r="K31" s="32">
        <f>J31*AD31</f>
        <v>0</v>
      </c>
      <c r="L31" s="32">
        <v>42</v>
      </c>
      <c r="M31" s="32">
        <f>L31*AD31</f>
        <v>37.758</v>
      </c>
      <c r="O31" s="32">
        <f>N31*AD31</f>
        <v>0</v>
      </c>
      <c r="Q31" s="32">
        <f>P31*AD31</f>
        <v>0</v>
      </c>
      <c r="T31" s="32" t="s">
        <v>137</v>
      </c>
      <c r="AB31" s="32" t="s">
        <v>209</v>
      </c>
      <c r="AC31" s="32">
        <f>B31+D31+F31+H31+J31+L31+N31+P31</f>
        <v>172.1</v>
      </c>
      <c r="AD31" s="53">
        <v>0.899</v>
      </c>
      <c r="AE31" s="53">
        <f>AC31*AD31</f>
        <v>154.7179</v>
      </c>
      <c r="AG31" s="32">
        <v>18</v>
      </c>
    </row>
    <row r="32" spans="1:33" ht="14.25">
      <c r="A32" s="56">
        <v>43188</v>
      </c>
      <c r="B32" s="32">
        <f>7+4</f>
        <v>11</v>
      </c>
      <c r="C32" s="32">
        <f>B32*AD32</f>
        <v>9.889</v>
      </c>
      <c r="D32" s="32">
        <f>31.75+3</f>
        <v>34.75</v>
      </c>
      <c r="E32" s="32">
        <f>D32*AD32</f>
        <v>31.24025</v>
      </c>
      <c r="F32" s="32">
        <f>6.9+9</f>
        <v>15.9</v>
      </c>
      <c r="G32" s="32">
        <f>F32*AD32</f>
        <v>14.2941</v>
      </c>
      <c r="I32" s="32">
        <f>H32*AD32</f>
        <v>0</v>
      </c>
      <c r="K32" s="32">
        <f>J32*AD32</f>
        <v>0</v>
      </c>
      <c r="L32" s="32">
        <v>45</v>
      </c>
      <c r="M32" s="32">
        <f>L32*AD32</f>
        <v>40.455</v>
      </c>
      <c r="O32" s="32">
        <f>N32*AD32</f>
        <v>0</v>
      </c>
      <c r="Q32" s="32">
        <f>P32*AD32</f>
        <v>0</v>
      </c>
      <c r="T32" s="32" t="s">
        <v>137</v>
      </c>
      <c r="AB32" s="32" t="s">
        <v>210</v>
      </c>
      <c r="AC32" s="32">
        <f>B32+D32+F32+H32+J32+L32+N32+P32</f>
        <v>106.65</v>
      </c>
      <c r="AD32" s="53">
        <v>0.899</v>
      </c>
      <c r="AE32" s="53">
        <f>AC32*AD32</f>
        <v>95.87835000000001</v>
      </c>
      <c r="AG32" s="32">
        <v>18</v>
      </c>
    </row>
    <row r="33" spans="1:33" ht="14.25">
      <c r="A33" s="54">
        <v>43189</v>
      </c>
      <c r="C33" s="32">
        <f>B33*AD33</f>
        <v>0</v>
      </c>
      <c r="E33" s="32">
        <f>D33*AD33</f>
        <v>0</v>
      </c>
      <c r="F33" s="32">
        <v>18</v>
      </c>
      <c r="G33" s="32">
        <f>F33*AD33</f>
        <v>16.182000000000002</v>
      </c>
      <c r="I33" s="32">
        <f>H33*AD33</f>
        <v>0</v>
      </c>
      <c r="K33" s="32">
        <f>J33*AD33</f>
        <v>0</v>
      </c>
      <c r="L33" s="32">
        <v>45</v>
      </c>
      <c r="M33" s="32">
        <f>L33*AD33</f>
        <v>40.455</v>
      </c>
      <c r="O33" s="32">
        <f>N33*AD33</f>
        <v>0</v>
      </c>
      <c r="Q33" s="32">
        <f>P33*AD33</f>
        <v>0</v>
      </c>
      <c r="T33" s="32" t="s">
        <v>137</v>
      </c>
      <c r="AB33" s="32" t="s">
        <v>207</v>
      </c>
      <c r="AC33" s="32">
        <f>B33+D33+F33+H33+J33+L33+N33+P33</f>
        <v>63</v>
      </c>
      <c r="AD33" s="53">
        <v>0.899</v>
      </c>
      <c r="AE33" s="53">
        <f>AC33*AD33</f>
        <v>56.637</v>
      </c>
      <c r="AG33" s="32">
        <v>18</v>
      </c>
    </row>
    <row r="34" spans="1:33" ht="14.25">
      <c r="A34" s="54">
        <v>43190</v>
      </c>
      <c r="C34" s="32">
        <f>B34*AD34</f>
        <v>0</v>
      </c>
      <c r="D34" s="32">
        <f>34.2</f>
        <v>34.2</v>
      </c>
      <c r="E34" s="32">
        <f>D34*AD34</f>
        <v>30.745800000000003</v>
      </c>
      <c r="F34" s="32">
        <v>14.5</v>
      </c>
      <c r="G34" s="32">
        <f>F34*AD34</f>
        <v>13.0355</v>
      </c>
      <c r="I34" s="32">
        <f>H34*AD34</f>
        <v>0</v>
      </c>
      <c r="K34" s="32">
        <f>J34*AD34</f>
        <v>0</v>
      </c>
      <c r="L34" s="32">
        <v>45</v>
      </c>
      <c r="M34" s="32">
        <f>L34*AD34</f>
        <v>40.455</v>
      </c>
      <c r="O34" s="32">
        <f>N34*AD34</f>
        <v>0</v>
      </c>
      <c r="Q34" s="32">
        <f>P34*AD34</f>
        <v>0</v>
      </c>
      <c r="T34" s="32" t="s">
        <v>137</v>
      </c>
      <c r="AB34" s="32" t="s">
        <v>207</v>
      </c>
      <c r="AC34" s="32">
        <f>B34+D34+F34+H34+J34+L34+N34+P34</f>
        <v>93.7</v>
      </c>
      <c r="AD34" s="53">
        <v>0.899</v>
      </c>
      <c r="AE34" s="53">
        <f>AC34*AD34</f>
        <v>84.2363</v>
      </c>
      <c r="AG34" s="32">
        <v>18</v>
      </c>
    </row>
    <row r="35" spans="3:33" ht="14.25"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32">
        <v>0.07063000000000001</v>
      </c>
      <c r="AE35" s="53">
        <f>AC35*AD35</f>
        <v>0</v>
      </c>
      <c r="AG35" s="32">
        <v>18</v>
      </c>
    </row>
    <row r="36" spans="3:31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32">
        <v>0.07063000000000001</v>
      </c>
      <c r="AE36" s="53">
        <f>AC36*AD36</f>
        <v>0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45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f>(693.63/600000)</f>
        <v>0.00115605</v>
      </c>
      <c r="AE38" s="53">
        <f>AC38*AD38</f>
        <v>0</v>
      </c>
      <c r="AS38" s="54"/>
    </row>
    <row r="39" spans="3:31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</f>
        <v>0</v>
      </c>
      <c r="AD49" s="32">
        <v>0.0061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0.1889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D54" s="32">
        <v>0.005925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29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ht="12.75"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10">
      <selection activeCell="A27" sqref="A27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43191</v>
      </c>
      <c r="C2" s="32">
        <f>B2*AD2</f>
        <v>0</v>
      </c>
      <c r="D2" s="32">
        <f>13.5</f>
        <v>13.5</v>
      </c>
      <c r="E2" s="32">
        <f>D2*AD2</f>
        <v>12.1365</v>
      </c>
      <c r="F2" s="32">
        <v>17.2</v>
      </c>
      <c r="G2" s="32">
        <f>F2*AD2</f>
        <v>15.4628</v>
      </c>
      <c r="I2" s="32">
        <f>H2*AD2</f>
        <v>0</v>
      </c>
      <c r="K2" s="32">
        <f>J2*AD2</f>
        <v>0</v>
      </c>
      <c r="L2" s="32">
        <v>45</v>
      </c>
      <c r="M2" s="32">
        <f>L2*AD2</f>
        <v>40.455</v>
      </c>
      <c r="O2" s="32">
        <f>N2*AD2</f>
        <v>0</v>
      </c>
      <c r="Q2" s="32">
        <f>P2*AD2</f>
        <v>0</v>
      </c>
      <c r="T2" s="32" t="s">
        <v>137</v>
      </c>
      <c r="AB2" s="32" t="s">
        <v>207</v>
      </c>
      <c r="AC2" s="32">
        <f>B2+D2+F2+H2+J2+L2+N2+P2</f>
        <v>75.7</v>
      </c>
      <c r="AD2" s="53">
        <v>0.899</v>
      </c>
      <c r="AE2" s="53">
        <f>AC2*AD2</f>
        <v>68.0543</v>
      </c>
      <c r="AG2" s="32">
        <v>18</v>
      </c>
      <c r="AI2" s="32" t="s">
        <v>139</v>
      </c>
      <c r="AJ2" s="55">
        <f>SUM($AE$2:$AE$995)</f>
        <v>3137.61495</v>
      </c>
      <c r="AL2" s="32" t="s">
        <v>140</v>
      </c>
      <c r="AM2" s="57">
        <f>$AJ$2/$AJ$5</f>
        <v>104.587165</v>
      </c>
      <c r="AO2" s="32" t="s">
        <v>141</v>
      </c>
      <c r="AP2" s="32">
        <f>COUNTBLANK(L2:L41)-COUNTBLANK(A2:A41)</f>
        <v>3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43192</v>
      </c>
      <c r="C3" s="32">
        <f>B3*AD3</f>
        <v>0</v>
      </c>
      <c r="D3" s="32">
        <f>8</f>
        <v>8</v>
      </c>
      <c r="E3" s="32">
        <f>D3*AD3</f>
        <v>7.192</v>
      </c>
      <c r="F3" s="32">
        <v>13.1</v>
      </c>
      <c r="G3" s="32">
        <f>F3*AD3</f>
        <v>11.7769</v>
      </c>
      <c r="I3" s="32">
        <f>H3*AD3</f>
        <v>0</v>
      </c>
      <c r="K3" s="32">
        <f>J3*AD3</f>
        <v>0</v>
      </c>
      <c r="L3" s="32">
        <v>45</v>
      </c>
      <c r="M3" s="32">
        <f>L3*AD3</f>
        <v>40.455</v>
      </c>
      <c r="O3" s="32">
        <f>N3*AD3</f>
        <v>0</v>
      </c>
      <c r="Q3" s="32">
        <f>P3*AD3</f>
        <v>0</v>
      </c>
      <c r="T3" s="32" t="s">
        <v>137</v>
      </c>
      <c r="AB3" s="32" t="s">
        <v>207</v>
      </c>
      <c r="AC3" s="32">
        <f>B3+D3+F3+H3+J3+L3+N3+P3</f>
        <v>66.1</v>
      </c>
      <c r="AD3" s="53">
        <v>0.899</v>
      </c>
      <c r="AE3" s="53">
        <f>AC3*AD3</f>
        <v>59.423899999999996</v>
      </c>
      <c r="AG3" s="32">
        <v>18</v>
      </c>
      <c r="AI3" s="59"/>
      <c r="AL3" s="59"/>
      <c r="AM3" s="57"/>
      <c r="AO3" s="32" t="s">
        <v>145</v>
      </c>
      <c r="AP3" s="32">
        <f>COUNT(L2:L37)</f>
        <v>27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43193</v>
      </c>
      <c r="C4" s="32">
        <f>B4*AD4</f>
        <v>0</v>
      </c>
      <c r="D4" s="32">
        <v>13.15</v>
      </c>
      <c r="E4" s="32">
        <f>D4*AD4</f>
        <v>11.821850000000001</v>
      </c>
      <c r="F4" s="32">
        <v>13.2</v>
      </c>
      <c r="G4" s="32">
        <f>F4*AD4</f>
        <v>11.8668</v>
      </c>
      <c r="I4" s="32">
        <f>H4*AD4</f>
        <v>0</v>
      </c>
      <c r="K4" s="32">
        <f>J4*AD4</f>
        <v>0</v>
      </c>
      <c r="L4" s="32">
        <v>45</v>
      </c>
      <c r="M4" s="32">
        <f>L4*AD4</f>
        <v>40.455</v>
      </c>
      <c r="O4" s="32">
        <f>N4*AD4</f>
        <v>0</v>
      </c>
      <c r="Q4" s="32">
        <f>P4*AD4</f>
        <v>0</v>
      </c>
      <c r="T4" s="32" t="s">
        <v>137</v>
      </c>
      <c r="AB4" s="32" t="s">
        <v>207</v>
      </c>
      <c r="AC4" s="32">
        <f>B4+D4+F4+H4+J4+L4+N4+P4</f>
        <v>71.35</v>
      </c>
      <c r="AD4" s="53">
        <v>0.899</v>
      </c>
      <c r="AE4" s="53">
        <f>AC4*AD4</f>
        <v>64.14365</v>
      </c>
      <c r="AG4" s="32">
        <v>18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43194</v>
      </c>
      <c r="C5" s="32">
        <f>B5*AD5</f>
        <v>0</v>
      </c>
      <c r="D5" s="4">
        <v>15</v>
      </c>
      <c r="E5" s="32">
        <f>D5*AD5</f>
        <v>13.485</v>
      </c>
      <c r="F5" s="32">
        <v>13.6</v>
      </c>
      <c r="G5" s="32">
        <f>F5*AD5</f>
        <v>12.2264</v>
      </c>
      <c r="I5" s="32">
        <f>H5*AD5</f>
        <v>0</v>
      </c>
      <c r="K5" s="32">
        <f>J5*AD5</f>
        <v>0</v>
      </c>
      <c r="L5" s="32">
        <v>45</v>
      </c>
      <c r="M5" s="32">
        <f>L5*AD5</f>
        <v>40.455</v>
      </c>
      <c r="N5" s="32">
        <v>150</v>
      </c>
      <c r="O5" s="32">
        <f>N5*AD5</f>
        <v>134.85</v>
      </c>
      <c r="Q5" s="32">
        <f>P5*AD5</f>
        <v>0</v>
      </c>
      <c r="T5" s="32" t="s">
        <v>137</v>
      </c>
      <c r="AB5" s="32" t="s">
        <v>207</v>
      </c>
      <c r="AC5" s="32">
        <f>B5+D5+F5+H5+J5+L5+N5+P5</f>
        <v>223.6</v>
      </c>
      <c r="AD5" s="53">
        <v>0.899</v>
      </c>
      <c r="AE5" s="53">
        <f>AC5*AD5</f>
        <v>201.0164</v>
      </c>
      <c r="AG5" s="32">
        <v>18</v>
      </c>
      <c r="AI5" s="32" t="s">
        <v>153</v>
      </c>
      <c r="AJ5" s="32">
        <f>COUNTA(A2:A350)</f>
        <v>30</v>
      </c>
      <c r="AO5" s="32" t="s">
        <v>154</v>
      </c>
      <c r="AP5" s="32">
        <f>COUNTA(R2:R50)</f>
        <v>0</v>
      </c>
    </row>
    <row r="6" spans="1:42" ht="12.75">
      <c r="A6" s="56">
        <v>43195</v>
      </c>
      <c r="C6" s="32">
        <f>B6*AD6</f>
        <v>0</v>
      </c>
      <c r="D6" s="4">
        <v>13.25</v>
      </c>
      <c r="E6" s="32">
        <f>D6*AD6</f>
        <v>11.91175</v>
      </c>
      <c r="F6" s="32">
        <v>12.1</v>
      </c>
      <c r="G6" s="32">
        <f>F6*AD6</f>
        <v>10.8779</v>
      </c>
      <c r="I6" s="32">
        <f>H6*AD6</f>
        <v>0</v>
      </c>
      <c r="K6" s="32">
        <f>J6*AD6</f>
        <v>0</v>
      </c>
      <c r="L6" s="32">
        <v>45</v>
      </c>
      <c r="M6" s="32">
        <f>L6*AD6</f>
        <v>40.455</v>
      </c>
      <c r="O6" s="32">
        <f>N6*AD6</f>
        <v>0</v>
      </c>
      <c r="Q6" s="32">
        <f>P6*AD6</f>
        <v>0</v>
      </c>
      <c r="T6" s="32" t="s">
        <v>137</v>
      </c>
      <c r="AB6" s="32" t="s">
        <v>207</v>
      </c>
      <c r="AC6" s="32">
        <f>B6+D6+F6+H6+J6+L6+N6+P6</f>
        <v>70.35</v>
      </c>
      <c r="AD6" s="53">
        <v>0.899</v>
      </c>
      <c r="AE6" s="53">
        <f>AC6*AD6</f>
        <v>63.24464999999999</v>
      </c>
      <c r="AG6" s="32">
        <v>18</v>
      </c>
      <c r="AI6" s="59"/>
      <c r="AO6" s="32" t="s">
        <v>156</v>
      </c>
      <c r="AP6" s="32">
        <f>COUNTA(T2:T50)</f>
        <v>25</v>
      </c>
    </row>
    <row r="7" spans="1:42" ht="12.75">
      <c r="A7" s="56">
        <v>43196</v>
      </c>
      <c r="C7" s="32">
        <f>B7*AD7</f>
        <v>0</v>
      </c>
      <c r="D7" s="32">
        <f>29.8+3</f>
        <v>32.8</v>
      </c>
      <c r="E7" s="32">
        <f>D7*AD7</f>
        <v>29.487199999999998</v>
      </c>
      <c r="F7" s="32">
        <v>13.6</v>
      </c>
      <c r="G7" s="32">
        <f>F7*AD7</f>
        <v>12.2264</v>
      </c>
      <c r="I7" s="32">
        <f>H7*AD7</f>
        <v>0</v>
      </c>
      <c r="K7" s="32">
        <f>J7*AD7</f>
        <v>0</v>
      </c>
      <c r="L7" s="32">
        <v>45</v>
      </c>
      <c r="M7" s="32">
        <f>L7*AD7</f>
        <v>40.455</v>
      </c>
      <c r="O7" s="32">
        <f>N7*AD7</f>
        <v>0</v>
      </c>
      <c r="Q7" s="32">
        <f>P7*AD7</f>
        <v>0</v>
      </c>
      <c r="T7" s="32" t="s">
        <v>137</v>
      </c>
      <c r="AB7" s="32" t="s">
        <v>207</v>
      </c>
      <c r="AC7" s="32">
        <f>B7+D7+F7+H7+J7+L7+N7+P7</f>
        <v>91.4</v>
      </c>
      <c r="AD7" s="53">
        <v>0.899</v>
      </c>
      <c r="AE7" s="53">
        <f>AC7*AD7</f>
        <v>82.16860000000001</v>
      </c>
      <c r="AG7" s="32">
        <v>18</v>
      </c>
      <c r="AL7" s="32" t="s">
        <v>158</v>
      </c>
      <c r="AO7" s="32" t="s">
        <v>126</v>
      </c>
      <c r="AP7" s="32">
        <f>COUNTA(U2:U50)</f>
        <v>0</v>
      </c>
    </row>
    <row r="8" spans="1:42" ht="14.25">
      <c r="A8" s="56">
        <v>43197</v>
      </c>
      <c r="C8" s="32">
        <f>B8*AD8</f>
        <v>0</v>
      </c>
      <c r="D8" s="32">
        <v>10</v>
      </c>
      <c r="E8" s="32">
        <f>D8*AD8</f>
        <v>8.99</v>
      </c>
      <c r="F8" s="32">
        <v>13.6</v>
      </c>
      <c r="G8" s="32">
        <f>F8*AD8</f>
        <v>12.2264</v>
      </c>
      <c r="I8" s="32">
        <f>H8*AD8</f>
        <v>0</v>
      </c>
      <c r="K8" s="32">
        <f>J8*AD8</f>
        <v>0</v>
      </c>
      <c r="L8" s="32">
        <v>45</v>
      </c>
      <c r="M8" s="32">
        <f>L8*AD8</f>
        <v>40.455</v>
      </c>
      <c r="O8" s="32">
        <f>N8*AD8</f>
        <v>0</v>
      </c>
      <c r="Q8" s="32">
        <f>P8*AD8</f>
        <v>0</v>
      </c>
      <c r="T8" s="32" t="s">
        <v>137</v>
      </c>
      <c r="AB8" s="32" t="s">
        <v>207</v>
      </c>
      <c r="AC8" s="32">
        <f>B8+D8+F8+H8+J8+L8+N8+P8</f>
        <v>68.6</v>
      </c>
      <c r="AD8" s="53">
        <v>0.899</v>
      </c>
      <c r="AE8" s="53">
        <f>AC8*AD8</f>
        <v>61.6714</v>
      </c>
      <c r="AG8" s="32">
        <v>18</v>
      </c>
      <c r="AI8" s="32" t="s">
        <v>160</v>
      </c>
      <c r="AJ8" s="55">
        <f>SUM(M2:M995)</f>
        <v>1148.444</v>
      </c>
      <c r="AL8" s="32" t="s">
        <v>119</v>
      </c>
      <c r="AM8" s="55">
        <f>AJ8/$AJ$5</f>
        <v>38.28146666666667</v>
      </c>
      <c r="AO8" s="32" t="s">
        <v>161</v>
      </c>
      <c r="AP8" s="32">
        <f>COUNTA(S2:S50)</f>
        <v>0</v>
      </c>
    </row>
    <row r="9" spans="1:42" ht="14.25">
      <c r="A9" s="56">
        <v>43198</v>
      </c>
      <c r="B9" s="1"/>
      <c r="C9" s="32">
        <f>B9*AD9</f>
        <v>0</v>
      </c>
      <c r="D9" s="32">
        <v>4.3</v>
      </c>
      <c r="E9" s="32">
        <f>D9*AD9</f>
        <v>3.8657</v>
      </c>
      <c r="F9" s="32">
        <v>17.2</v>
      </c>
      <c r="G9" s="32">
        <f>F9*AD9</f>
        <v>15.4628</v>
      </c>
      <c r="I9" s="32">
        <f>H9*AD9</f>
        <v>0</v>
      </c>
      <c r="K9" s="32">
        <f>J9*AD9</f>
        <v>0</v>
      </c>
      <c r="L9" s="32">
        <v>45</v>
      </c>
      <c r="M9" s="32">
        <f>L9*AD9</f>
        <v>40.455</v>
      </c>
      <c r="O9" s="32">
        <f>N9*AD9</f>
        <v>0</v>
      </c>
      <c r="Q9" s="32">
        <f>P9*AD9</f>
        <v>0</v>
      </c>
      <c r="T9" s="32" t="s">
        <v>137</v>
      </c>
      <c r="AB9" s="32" t="s">
        <v>207</v>
      </c>
      <c r="AC9" s="32">
        <f>B9+D9+F9+H9+J9+L9+N9+P9</f>
        <v>66.5</v>
      </c>
      <c r="AD9" s="53">
        <v>0.899</v>
      </c>
      <c r="AE9" s="53">
        <f>AC9*AD9</f>
        <v>59.783500000000004</v>
      </c>
      <c r="AG9" s="32">
        <v>18</v>
      </c>
      <c r="AI9" s="32" t="s">
        <v>163</v>
      </c>
      <c r="AJ9" s="55">
        <f>SUM(C2:C995)</f>
        <v>733.7853</v>
      </c>
      <c r="AL9" s="32" t="s">
        <v>109</v>
      </c>
      <c r="AM9" s="55">
        <f>AJ9/$AJ$5</f>
        <v>24.45951</v>
      </c>
      <c r="AO9" s="32" t="s">
        <v>127</v>
      </c>
      <c r="AP9" s="32">
        <f>COUNTA(V2:V51)</f>
        <v>0</v>
      </c>
    </row>
    <row r="10" spans="1:42" ht="14.25">
      <c r="A10" s="56">
        <v>43199</v>
      </c>
      <c r="C10" s="32">
        <f>B10*AD10</f>
        <v>0</v>
      </c>
      <c r="D10" s="32">
        <v>4</v>
      </c>
      <c r="E10" s="32">
        <f>D10*AD10</f>
        <v>3.596</v>
      </c>
      <c r="F10" s="32">
        <v>12</v>
      </c>
      <c r="G10" s="32">
        <f>F10*AD10</f>
        <v>10.788</v>
      </c>
      <c r="I10" s="32">
        <f>H10*AD10</f>
        <v>0</v>
      </c>
      <c r="K10" s="32">
        <f>J10*AD10</f>
        <v>0</v>
      </c>
      <c r="L10" s="32">
        <v>45</v>
      </c>
      <c r="M10" s="32">
        <f>L10*AD10</f>
        <v>40.455</v>
      </c>
      <c r="O10" s="32">
        <f>N10*AD10</f>
        <v>0</v>
      </c>
      <c r="Q10" s="32">
        <f>P10*AD10</f>
        <v>0</v>
      </c>
      <c r="T10" s="32" t="s">
        <v>137</v>
      </c>
      <c r="AB10" s="32" t="s">
        <v>207</v>
      </c>
      <c r="AC10" s="32">
        <f>B10+D10+F10+H10+J10+L10+N10+P10</f>
        <v>61</v>
      </c>
      <c r="AD10" s="53">
        <v>0.899</v>
      </c>
      <c r="AE10" s="53">
        <f>AC10*AD10</f>
        <v>54.839</v>
      </c>
      <c r="AG10" s="32">
        <v>18</v>
      </c>
      <c r="AI10" s="32" t="s">
        <v>164</v>
      </c>
      <c r="AJ10" s="55">
        <f>SUM(E2:E995)</f>
        <v>451.29365</v>
      </c>
      <c r="AL10" s="32" t="s">
        <v>51</v>
      </c>
      <c r="AM10" s="55">
        <f>AJ10/$AJ$5</f>
        <v>15.043121666666668</v>
      </c>
      <c r="AO10" s="32" t="s">
        <v>130</v>
      </c>
      <c r="AP10" s="32">
        <f>COUNTA(Y2:Y52)</f>
        <v>2</v>
      </c>
    </row>
    <row r="11" spans="1:42" ht="14.25">
      <c r="A11" s="56">
        <v>43200</v>
      </c>
      <c r="C11" s="32">
        <f>B11*AD11</f>
        <v>0</v>
      </c>
      <c r="D11" s="32">
        <f>19.65</f>
        <v>19.65</v>
      </c>
      <c r="E11" s="32">
        <f>D11*AD11</f>
        <v>17.66535</v>
      </c>
      <c r="F11" s="32">
        <v>12.1</v>
      </c>
      <c r="G11" s="32">
        <f>F11*AD11</f>
        <v>10.8779</v>
      </c>
      <c r="I11" s="32">
        <f>H11*AD11</f>
        <v>0</v>
      </c>
      <c r="K11" s="32">
        <f>J11*AD11</f>
        <v>0</v>
      </c>
      <c r="L11" s="32">
        <v>45</v>
      </c>
      <c r="M11" s="32">
        <f>L11*AD11</f>
        <v>40.455</v>
      </c>
      <c r="O11" s="32">
        <f>N11*AD11</f>
        <v>0</v>
      </c>
      <c r="Q11" s="32">
        <f>P11*AD11</f>
        <v>0</v>
      </c>
      <c r="T11" s="32" t="s">
        <v>137</v>
      </c>
      <c r="AB11" s="60" t="s">
        <v>207</v>
      </c>
      <c r="AC11" s="32">
        <f>B11+D11+F11+H11+J11+L11+N11+P11</f>
        <v>76.75</v>
      </c>
      <c r="AD11" s="53">
        <v>0.899</v>
      </c>
      <c r="AE11" s="53">
        <f>AC11*AD11</f>
        <v>68.99825</v>
      </c>
      <c r="AG11" s="32">
        <v>18</v>
      </c>
      <c r="AI11" s="32" t="s">
        <v>165</v>
      </c>
      <c r="AJ11" s="55">
        <f>SUM(G2:G995)</f>
        <v>287.62800000000004</v>
      </c>
      <c r="AL11" s="32" t="s">
        <v>166</v>
      </c>
      <c r="AM11" s="55">
        <f>AJ11/$AJ$5</f>
        <v>9.587600000000002</v>
      </c>
      <c r="AO11" s="32" t="s">
        <v>167</v>
      </c>
      <c r="AP11" s="32">
        <f>COUNTA(Z2:Z53)</f>
        <v>1</v>
      </c>
    </row>
    <row r="12" spans="1:42" ht="14.25">
      <c r="A12" s="56">
        <v>43201</v>
      </c>
      <c r="B12" s="32">
        <v>294.5</v>
      </c>
      <c r="C12" s="32">
        <f>B12*AD12</f>
        <v>264.7555</v>
      </c>
      <c r="E12" s="32">
        <f>D12*AD12</f>
        <v>0</v>
      </c>
      <c r="F12" s="32">
        <v>12.1</v>
      </c>
      <c r="G12" s="32">
        <f>F12*AD12</f>
        <v>10.8779</v>
      </c>
      <c r="I12" s="32">
        <f>H12*AD12</f>
        <v>0</v>
      </c>
      <c r="K12" s="32">
        <f>J12*AD12</f>
        <v>0</v>
      </c>
      <c r="L12" s="32">
        <v>45</v>
      </c>
      <c r="M12" s="32">
        <f>L12*AD12</f>
        <v>40.455</v>
      </c>
      <c r="O12" s="32">
        <f>N12*AD12</f>
        <v>0</v>
      </c>
      <c r="Q12" s="32">
        <f>P12*AD12</f>
        <v>0</v>
      </c>
      <c r="T12" s="32" t="s">
        <v>137</v>
      </c>
      <c r="AB12" s="60" t="s">
        <v>207</v>
      </c>
      <c r="AC12" s="32">
        <f>B12+D12+F12+H12+J12+L12+N12+P12</f>
        <v>351.6</v>
      </c>
      <c r="AD12" s="53">
        <v>0.899</v>
      </c>
      <c r="AE12" s="53">
        <f>AC12*AD12</f>
        <v>316.08840000000004</v>
      </c>
      <c r="AG12" s="32">
        <v>18</v>
      </c>
      <c r="AI12" s="32" t="s">
        <v>168</v>
      </c>
      <c r="AJ12" s="55">
        <f>SUM(K2:K995)</f>
        <v>131.25400000000002</v>
      </c>
      <c r="AL12" s="32" t="s">
        <v>117</v>
      </c>
      <c r="AM12" s="55">
        <f>AJ12/$AJ$5</f>
        <v>4.375133333333334</v>
      </c>
      <c r="AO12" s="32" t="s">
        <v>211</v>
      </c>
      <c r="AP12" s="32">
        <f>COUNTA(X2:X54)</f>
        <v>2</v>
      </c>
    </row>
    <row r="13" spans="1:39" ht="14.25">
      <c r="A13" s="56">
        <v>43202</v>
      </c>
      <c r="B13" s="1">
        <v>10</v>
      </c>
      <c r="C13" s="32">
        <f>B13*AD13</f>
        <v>8.99</v>
      </c>
      <c r="D13" s="32">
        <v>4.3</v>
      </c>
      <c r="E13" s="32">
        <f>D13*AD13</f>
        <v>3.8657</v>
      </c>
      <c r="F13" s="32">
        <f>18.7+12</f>
        <v>30.7</v>
      </c>
      <c r="G13" s="32">
        <f>F13*AD13</f>
        <v>27.5993</v>
      </c>
      <c r="I13" s="32">
        <f>H13*AD13</f>
        <v>0</v>
      </c>
      <c r="K13" s="32">
        <f>J13*AD13</f>
        <v>0</v>
      </c>
      <c r="M13" s="32">
        <f>L13*AD13</f>
        <v>0</v>
      </c>
      <c r="O13" s="32">
        <f>N13*AD13</f>
        <v>0</v>
      </c>
      <c r="Q13" s="32">
        <f>P13*AD13</f>
        <v>0</v>
      </c>
      <c r="X13" s="32" t="s">
        <v>137</v>
      </c>
      <c r="AB13" s="60" t="s">
        <v>212</v>
      </c>
      <c r="AC13" s="32">
        <f>B13+D13+F13+H13+J13+L13+N13+P13</f>
        <v>45</v>
      </c>
      <c r="AD13" s="53">
        <v>0.899</v>
      </c>
      <c r="AE13" s="53">
        <f>AC13*AD13</f>
        <v>40.455</v>
      </c>
      <c r="AG13" s="32">
        <v>18</v>
      </c>
      <c r="AI13" s="32" t="s">
        <v>169</v>
      </c>
      <c r="AJ13" s="55">
        <f>SUM(I2:I995)</f>
        <v>5.36</v>
      </c>
      <c r="AL13" s="32" t="s">
        <v>115</v>
      </c>
      <c r="AM13" s="55">
        <f>AJ13/$AJ$5</f>
        <v>0.17866666666666667</v>
      </c>
    </row>
    <row r="14" spans="1:36" ht="14.25">
      <c r="A14" s="56">
        <v>43203</v>
      </c>
      <c r="B14" s="32">
        <f>24+2.6</f>
        <v>26.6</v>
      </c>
      <c r="C14" s="32">
        <f>B14*AD14</f>
        <v>23.913400000000003</v>
      </c>
      <c r="D14" s="32">
        <v>63.3</v>
      </c>
      <c r="E14" s="32">
        <f>D14*AD14</f>
        <v>56.9067</v>
      </c>
      <c r="F14" s="32">
        <v>15.2</v>
      </c>
      <c r="G14" s="32">
        <f>F14*AD14</f>
        <v>13.6648</v>
      </c>
      <c r="I14" s="32">
        <f>H14*AD14</f>
        <v>0</v>
      </c>
      <c r="K14" s="32">
        <f>J14*AD14</f>
        <v>0</v>
      </c>
      <c r="L14" s="32">
        <v>53</v>
      </c>
      <c r="M14" s="32">
        <f>L14*AD14</f>
        <v>47.647</v>
      </c>
      <c r="O14" s="32">
        <f>N14*AD14</f>
        <v>0</v>
      </c>
      <c r="Q14" s="32">
        <f>P14*AD14</f>
        <v>0</v>
      </c>
      <c r="T14" s="32" t="s">
        <v>137</v>
      </c>
      <c r="AB14" s="60" t="s">
        <v>182</v>
      </c>
      <c r="AC14" s="32">
        <f>B14+D14+F14+H14+J14+L14+N14+P14</f>
        <v>158.10000000000002</v>
      </c>
      <c r="AD14" s="53">
        <v>0.899</v>
      </c>
      <c r="AE14" s="53">
        <f>AC14*AD14</f>
        <v>142.13190000000003</v>
      </c>
      <c r="AG14" s="32">
        <v>18</v>
      </c>
      <c r="AI14" s="32" t="s">
        <v>171</v>
      </c>
      <c r="AJ14" s="55">
        <f>SUM(O2:O995)</f>
        <v>134.85</v>
      </c>
    </row>
    <row r="15" spans="1:36" ht="14.25">
      <c r="A15" s="56">
        <v>43204</v>
      </c>
      <c r="C15" s="32">
        <f>B15*AD15</f>
        <v>0</v>
      </c>
      <c r="E15" s="32">
        <f>D15*AD15</f>
        <v>0</v>
      </c>
      <c r="G15" s="32">
        <f>F15*AD15</f>
        <v>0</v>
      </c>
      <c r="I15" s="32">
        <f>H15*AD15</f>
        <v>0</v>
      </c>
      <c r="K15" s="32">
        <f>J15*AD15</f>
        <v>0</v>
      </c>
      <c r="L15" s="32">
        <v>50</v>
      </c>
      <c r="M15" s="32">
        <f>L15*AD15</f>
        <v>44.95</v>
      </c>
      <c r="O15" s="32">
        <f>N15*AD15</f>
        <v>0</v>
      </c>
      <c r="Q15" s="32">
        <f>P15*AD15</f>
        <v>0</v>
      </c>
      <c r="T15" s="32" t="s">
        <v>137</v>
      </c>
      <c r="AB15" s="60" t="s">
        <v>182</v>
      </c>
      <c r="AC15" s="32">
        <f>B15+D15+F15+H15+J15+L15+N15+P15</f>
        <v>50</v>
      </c>
      <c r="AD15" s="53">
        <v>0.899</v>
      </c>
      <c r="AE15" s="53">
        <f>AC15*AD15</f>
        <v>44.95</v>
      </c>
      <c r="AG15" s="32">
        <v>18</v>
      </c>
      <c r="AI15" s="32" t="s">
        <v>173</v>
      </c>
      <c r="AJ15" s="32">
        <f>SUM(Q2:Q61)</f>
        <v>245</v>
      </c>
    </row>
    <row r="16" spans="1:35" ht="12.75">
      <c r="A16" s="56">
        <v>43205</v>
      </c>
      <c r="C16" s="32">
        <f>B16*AD16</f>
        <v>0</v>
      </c>
      <c r="D16" s="32">
        <v>20.45</v>
      </c>
      <c r="E16" s="32">
        <f>D16*AD16</f>
        <v>18.38455</v>
      </c>
      <c r="G16" s="32">
        <f>F16*AD16</f>
        <v>0</v>
      </c>
      <c r="I16" s="32">
        <f>H16*AD16</f>
        <v>0</v>
      </c>
      <c r="K16" s="32">
        <f>J16*AD16</f>
        <v>0</v>
      </c>
      <c r="L16" s="32">
        <v>50</v>
      </c>
      <c r="M16" s="32">
        <f>L16*AD16</f>
        <v>44.95</v>
      </c>
      <c r="O16" s="32">
        <f>N16*AD16</f>
        <v>0</v>
      </c>
      <c r="Q16" s="32">
        <f>P16*AD16</f>
        <v>0</v>
      </c>
      <c r="T16" s="32" t="s">
        <v>137</v>
      </c>
      <c r="AB16" s="60" t="s">
        <v>182</v>
      </c>
      <c r="AC16" s="32">
        <f>B16+D16+F16+H16+J16+L16+N16+P16</f>
        <v>70.45</v>
      </c>
      <c r="AD16" s="53">
        <v>0.899</v>
      </c>
      <c r="AE16" s="53">
        <f>AC16*AD16</f>
        <v>63.33455000000001</v>
      </c>
      <c r="AG16" s="32">
        <v>18</v>
      </c>
      <c r="AI16" s="59"/>
    </row>
    <row r="17" spans="1:44" ht="12.75">
      <c r="A17" s="56">
        <v>43206</v>
      </c>
      <c r="C17" s="32">
        <f>B17*AD17</f>
        <v>0</v>
      </c>
      <c r="D17" s="32">
        <v>11.85</v>
      </c>
      <c r="E17" s="32">
        <f>D17*AD17</f>
        <v>10.65315</v>
      </c>
      <c r="G17" s="32">
        <f>F17*AD17</f>
        <v>0</v>
      </c>
      <c r="I17" s="32">
        <f>H17*AD17</f>
        <v>0</v>
      </c>
      <c r="K17" s="32">
        <f>J17*AD17</f>
        <v>0</v>
      </c>
      <c r="L17" s="32">
        <v>50</v>
      </c>
      <c r="M17" s="32">
        <f>L17*AD17</f>
        <v>44.95</v>
      </c>
      <c r="O17" s="32">
        <f>N17*AD17</f>
        <v>0</v>
      </c>
      <c r="Q17" s="32">
        <f>P17*AD17</f>
        <v>0</v>
      </c>
      <c r="T17" s="32" t="s">
        <v>137</v>
      </c>
      <c r="AB17" s="60" t="s">
        <v>182</v>
      </c>
      <c r="AC17" s="32">
        <f>B17+D17+F17+H17+J17+L17+N17+P17</f>
        <v>61.85</v>
      </c>
      <c r="AD17" s="53">
        <v>0.899</v>
      </c>
      <c r="AE17" s="53">
        <f>AC17*AD17</f>
        <v>55.60315</v>
      </c>
      <c r="AG17" s="32">
        <v>18</v>
      </c>
      <c r="AR17" s="54"/>
    </row>
    <row r="18" spans="1:44" ht="14.25">
      <c r="A18" s="56">
        <v>43207</v>
      </c>
      <c r="B18" s="32">
        <v>6</v>
      </c>
      <c r="C18" s="32">
        <f>B18*AD18</f>
        <v>5.394</v>
      </c>
      <c r="D18" s="32">
        <v>30.3</v>
      </c>
      <c r="E18" s="32">
        <f>D18*AD18</f>
        <v>27.239700000000003</v>
      </c>
      <c r="G18" s="32">
        <f>F18*AD18</f>
        <v>0</v>
      </c>
      <c r="I18" s="32">
        <f>H18*AD18</f>
        <v>0</v>
      </c>
      <c r="K18" s="32">
        <f>J18*AD18</f>
        <v>0</v>
      </c>
      <c r="L18" s="32">
        <v>79</v>
      </c>
      <c r="M18" s="32">
        <f>L18*AD18</f>
        <v>71.021</v>
      </c>
      <c r="O18" s="32">
        <f>N18*AD18</f>
        <v>0</v>
      </c>
      <c r="Q18" s="32">
        <f>P18*AD18</f>
        <v>0</v>
      </c>
      <c r="Y18" s="32" t="s">
        <v>137</v>
      </c>
      <c r="AB18" s="60" t="s">
        <v>182</v>
      </c>
      <c r="AC18" s="32">
        <f>B18+D18+F18+H18+J18+L18+N18+P18</f>
        <v>115.3</v>
      </c>
      <c r="AD18" s="53">
        <v>0.899</v>
      </c>
      <c r="AE18" s="53">
        <f>AC18*AD18</f>
        <v>103.6547</v>
      </c>
      <c r="AG18" s="32">
        <v>18</v>
      </c>
      <c r="AI18" s="32" t="s">
        <v>177</v>
      </c>
      <c r="AJ18" s="32">
        <f>SUM(AA2:AA51)</f>
        <v>0</v>
      </c>
      <c r="AR18" s="54"/>
    </row>
    <row r="19" spans="1:33" ht="14.25">
      <c r="A19" s="56">
        <v>43208</v>
      </c>
      <c r="C19" s="32">
        <f>B19*AD19</f>
        <v>0</v>
      </c>
      <c r="E19" s="32">
        <f>D19*AD19</f>
        <v>0</v>
      </c>
      <c r="G19" s="32">
        <f>F19*AD19</f>
        <v>0</v>
      </c>
      <c r="I19" s="32">
        <f>H19*AD19</f>
        <v>0</v>
      </c>
      <c r="K19" s="32">
        <f>J19*AD19</f>
        <v>0</v>
      </c>
      <c r="L19" s="32">
        <v>79</v>
      </c>
      <c r="M19" s="32">
        <f>L19*AD19</f>
        <v>71.021</v>
      </c>
      <c r="O19" s="32">
        <f>N19*AD19</f>
        <v>0</v>
      </c>
      <c r="Q19" s="32">
        <f>P19*AD19</f>
        <v>0</v>
      </c>
      <c r="Y19" s="32" t="s">
        <v>137</v>
      </c>
      <c r="AB19" s="60" t="s">
        <v>182</v>
      </c>
      <c r="AC19" s="32">
        <f>B19+D19+F19+H19+J19+L19+N19+P19</f>
        <v>79</v>
      </c>
      <c r="AD19" s="53">
        <v>0.899</v>
      </c>
      <c r="AE19" s="53">
        <f>AC19*AD19</f>
        <v>71.021</v>
      </c>
      <c r="AG19" s="32">
        <v>18</v>
      </c>
    </row>
    <row r="20" spans="1:33" ht="14.25">
      <c r="A20" s="56">
        <v>43209</v>
      </c>
      <c r="C20" s="32">
        <f>B20*AD20</f>
        <v>0</v>
      </c>
      <c r="D20" s="32">
        <v>55.85</v>
      </c>
      <c r="E20" s="32">
        <f>D20*AD20</f>
        <v>50.20915</v>
      </c>
      <c r="F20" s="32">
        <v>15.7</v>
      </c>
      <c r="G20" s="32">
        <f>F20*AD20</f>
        <v>14.1143</v>
      </c>
      <c r="I20" s="32">
        <f>H20*AD20</f>
        <v>0</v>
      </c>
      <c r="K20" s="32">
        <f>J20*AD20</f>
        <v>0</v>
      </c>
      <c r="L20" s="32">
        <v>45</v>
      </c>
      <c r="M20" s="32">
        <f>L20*AD20</f>
        <v>40.455</v>
      </c>
      <c r="O20" s="32">
        <f>N20*AD20</f>
        <v>0</v>
      </c>
      <c r="Q20" s="32">
        <f>P20*AD20</f>
        <v>0</v>
      </c>
      <c r="T20" s="32" t="s">
        <v>137</v>
      </c>
      <c r="AB20" s="60" t="s">
        <v>182</v>
      </c>
      <c r="AC20" s="32">
        <f>B20+D20+F20+H20+J20+L20+N20+P20</f>
        <v>116.55</v>
      </c>
      <c r="AD20" s="53">
        <v>0.899</v>
      </c>
      <c r="AE20" s="53">
        <f>AC20*AD20</f>
        <v>104.77845</v>
      </c>
      <c r="AG20" s="32">
        <v>18</v>
      </c>
    </row>
    <row r="21" spans="1:33" ht="14.25">
      <c r="A21" s="56">
        <v>43210</v>
      </c>
      <c r="C21" s="32">
        <f>B21*AD21</f>
        <v>0</v>
      </c>
      <c r="D21" s="32">
        <v>4.45</v>
      </c>
      <c r="E21" s="32">
        <f>D21*AD21</f>
        <v>4.0005500000000005</v>
      </c>
      <c r="G21" s="32">
        <f>F21*AD21</f>
        <v>0</v>
      </c>
      <c r="I21" s="32">
        <f>H21*AD21</f>
        <v>0</v>
      </c>
      <c r="K21" s="32">
        <f>J21*AD21</f>
        <v>0</v>
      </c>
      <c r="L21" s="32">
        <v>45</v>
      </c>
      <c r="M21" s="32">
        <f>L21*AD21</f>
        <v>40.455</v>
      </c>
      <c r="O21" s="32">
        <f>N21*AD21</f>
        <v>0</v>
      </c>
      <c r="Q21" s="32">
        <f>P21*AD21</f>
        <v>0</v>
      </c>
      <c r="T21" s="32" t="s">
        <v>137</v>
      </c>
      <c r="AB21" s="60" t="s">
        <v>182</v>
      </c>
      <c r="AC21" s="32">
        <f>B21+D21+F21+H21+J21+L21+N21+P21</f>
        <v>49.45</v>
      </c>
      <c r="AD21" s="53">
        <v>0.899</v>
      </c>
      <c r="AE21" s="53">
        <f>AC21*AD21</f>
        <v>44.45555</v>
      </c>
      <c r="AG21" s="32">
        <v>18</v>
      </c>
    </row>
    <row r="22" spans="1:33" ht="14.25">
      <c r="A22" s="56">
        <v>43211</v>
      </c>
      <c r="C22" s="32">
        <f>B22*AD22</f>
        <v>0</v>
      </c>
      <c r="D22" s="32">
        <f>29+2.65</f>
        <v>31.65</v>
      </c>
      <c r="E22" s="32">
        <f>D22*AD22</f>
        <v>28.45335</v>
      </c>
      <c r="G22" s="32">
        <f>F22*AD22</f>
        <v>0</v>
      </c>
      <c r="I22" s="32">
        <f>H22*AD22</f>
        <v>0</v>
      </c>
      <c r="J22" s="32">
        <v>130</v>
      </c>
      <c r="K22" s="32">
        <f>J22*AD22</f>
        <v>116.87</v>
      </c>
      <c r="L22" s="32">
        <v>45</v>
      </c>
      <c r="M22" s="32">
        <f>L22*AD22</f>
        <v>40.455</v>
      </c>
      <c r="O22" s="32">
        <f>N22*AD22</f>
        <v>0</v>
      </c>
      <c r="Q22" s="32">
        <f>P22*AD22</f>
        <v>0</v>
      </c>
      <c r="T22" s="32" t="s">
        <v>137</v>
      </c>
      <c r="AB22" s="60" t="s">
        <v>182</v>
      </c>
      <c r="AC22" s="32">
        <f>B22+D22+F22+H22+J22+L22+N22+P22</f>
        <v>206.65</v>
      </c>
      <c r="AD22" s="53">
        <v>0.899</v>
      </c>
      <c r="AE22" s="53">
        <f>AC22*AD22</f>
        <v>185.77835000000002</v>
      </c>
      <c r="AG22" s="32">
        <v>18</v>
      </c>
    </row>
    <row r="23" spans="1:33" ht="14.25">
      <c r="A23" s="56">
        <v>43212</v>
      </c>
      <c r="C23" s="32">
        <f>B23*AD23</f>
        <v>0</v>
      </c>
      <c r="E23" s="32">
        <f>D23*AD23</f>
        <v>0</v>
      </c>
      <c r="G23" s="32">
        <f>F23*AD23</f>
        <v>0</v>
      </c>
      <c r="I23" s="32">
        <f>H23*AD23</f>
        <v>0</v>
      </c>
      <c r="K23" s="32">
        <f>J23*AD23</f>
        <v>0</v>
      </c>
      <c r="L23" s="32">
        <v>45</v>
      </c>
      <c r="M23" s="32">
        <f>L23*AD23</f>
        <v>40.455</v>
      </c>
      <c r="O23" s="32">
        <f>N23*AD23</f>
        <v>0</v>
      </c>
      <c r="Q23" s="32">
        <f>P23*AD23</f>
        <v>0</v>
      </c>
      <c r="T23" s="32" t="s">
        <v>137</v>
      </c>
      <c r="AB23" s="60" t="s">
        <v>182</v>
      </c>
      <c r="AC23" s="32">
        <f>B23+D23+F23+H23+J23+L23+N23+P23</f>
        <v>45</v>
      </c>
      <c r="AD23" s="53">
        <v>0.899</v>
      </c>
      <c r="AE23" s="53">
        <f>AC23*AD23</f>
        <v>40.455</v>
      </c>
      <c r="AG23" s="32">
        <v>18</v>
      </c>
    </row>
    <row r="24" spans="1:33" ht="14.25">
      <c r="A24" s="56">
        <v>43213</v>
      </c>
      <c r="B24" s="32">
        <f>1.8*2+12*2</f>
        <v>27.6</v>
      </c>
      <c r="C24" s="32">
        <f>B24*AD24</f>
        <v>24.8124</v>
      </c>
      <c r="D24" s="32">
        <f>3.55</f>
        <v>3.55</v>
      </c>
      <c r="E24" s="32">
        <f>D24*AD24</f>
        <v>3.19145</v>
      </c>
      <c r="F24" s="32">
        <v>20.6</v>
      </c>
      <c r="G24" s="32">
        <f>F24*AD24</f>
        <v>18.5194</v>
      </c>
      <c r="I24" s="32">
        <f>H24*AD24</f>
        <v>0</v>
      </c>
      <c r="K24" s="32">
        <f>J24*AD24</f>
        <v>0</v>
      </c>
      <c r="M24" s="32">
        <f>L24*AD24</f>
        <v>0</v>
      </c>
      <c r="O24" s="32">
        <f>N24*AD24</f>
        <v>0</v>
      </c>
      <c r="Q24" s="32">
        <f>P24*AD24</f>
        <v>0</v>
      </c>
      <c r="X24" s="32" t="s">
        <v>137</v>
      </c>
      <c r="AB24" s="60" t="s">
        <v>182</v>
      </c>
      <c r="AC24" s="32">
        <f>B24+D24+F24+H24+J24+L24+N24+P24</f>
        <v>51.75</v>
      </c>
      <c r="AD24" s="53">
        <v>0.899</v>
      </c>
      <c r="AE24" s="53">
        <f>AC24*AD24</f>
        <v>46.523250000000004</v>
      </c>
      <c r="AG24" s="32">
        <v>18</v>
      </c>
    </row>
    <row r="25" spans="1:33" ht="14.25">
      <c r="A25" s="56">
        <v>43214</v>
      </c>
      <c r="C25" s="32">
        <f>B25*AD25</f>
        <v>0</v>
      </c>
      <c r="E25" s="32">
        <f>D25*AD25</f>
        <v>0</v>
      </c>
      <c r="G25" s="32">
        <f>F25*AD25</f>
        <v>0</v>
      </c>
      <c r="I25" s="32">
        <f>H25*AD25</f>
        <v>0</v>
      </c>
      <c r="J25" s="32">
        <v>16</v>
      </c>
      <c r="K25" s="32">
        <f>J25*AD25</f>
        <v>14.384</v>
      </c>
      <c r="M25" s="32">
        <f>L25*AD25</f>
        <v>0</v>
      </c>
      <c r="O25" s="32">
        <f>N25*AD25</f>
        <v>0</v>
      </c>
      <c r="Q25" s="32">
        <f>P25*AD25</f>
        <v>0</v>
      </c>
      <c r="AB25" s="60" t="s">
        <v>213</v>
      </c>
      <c r="AC25" s="32">
        <f>B25+D25+F25+H25+J25+L25+N25+P25</f>
        <v>16</v>
      </c>
      <c r="AD25" s="53">
        <v>0.899</v>
      </c>
      <c r="AE25" s="53">
        <f>AC25*AD25</f>
        <v>14.384</v>
      </c>
      <c r="AG25" s="32">
        <v>18</v>
      </c>
    </row>
    <row r="26" spans="1:33" ht="14.25">
      <c r="A26" s="56"/>
      <c r="B26" s="32">
        <v>73.48</v>
      </c>
      <c r="C26" s="32">
        <f>B26*AD26</f>
        <v>257.18</v>
      </c>
      <c r="E26" s="32">
        <f>D26*AD26</f>
        <v>0</v>
      </c>
      <c r="G26" s="32">
        <f>F26*AD26</f>
        <v>0</v>
      </c>
      <c r="I26" s="32">
        <f>H26*AD26</f>
        <v>0</v>
      </c>
      <c r="K26" s="32">
        <f>J26*AD26</f>
        <v>0</v>
      </c>
      <c r="M26" s="32">
        <f>L26*AD26</f>
        <v>0</v>
      </c>
      <c r="O26" s="32">
        <f>N26*AD26</f>
        <v>0</v>
      </c>
      <c r="P26" s="32">
        <f>35*2</f>
        <v>70</v>
      </c>
      <c r="Q26" s="32">
        <f>P26*AD26</f>
        <v>245</v>
      </c>
      <c r="AB26" s="60"/>
      <c r="AC26" s="32">
        <f>B26+D26+F26+H26+J26+L26+N26+P26</f>
        <v>143.48000000000002</v>
      </c>
      <c r="AD26" s="53">
        <v>3.5</v>
      </c>
      <c r="AE26" s="53">
        <f>AC26*AD26</f>
        <v>502.18000000000006</v>
      </c>
      <c r="AG26" s="32">
        <v>21</v>
      </c>
    </row>
    <row r="27" spans="1:33" ht="14.25">
      <c r="A27" s="56"/>
      <c r="B27" s="32">
        <f>40000*2</f>
        <v>80000</v>
      </c>
      <c r="C27" s="32">
        <f>B27*AD27</f>
        <v>21.44</v>
      </c>
      <c r="D27" s="32">
        <v>71000</v>
      </c>
      <c r="E27" s="32">
        <f>D27*AD27</f>
        <v>19.028000000000002</v>
      </c>
      <c r="F27" s="32">
        <v>46000</v>
      </c>
      <c r="G27" s="32">
        <f>F27*AD27</f>
        <v>12.328000000000001</v>
      </c>
      <c r="I27" s="32">
        <f>H27*AD27</f>
        <v>0</v>
      </c>
      <c r="K27" s="32">
        <f>J27*AD27</f>
        <v>0</v>
      </c>
      <c r="L27" s="32">
        <v>130000</v>
      </c>
      <c r="M27" s="32">
        <f>L27*AD27</f>
        <v>34.84</v>
      </c>
      <c r="O27" s="32">
        <f>N27*AD27</f>
        <v>0</v>
      </c>
      <c r="Q27" s="32">
        <f>P27*AD27</f>
        <v>0</v>
      </c>
      <c r="T27" s="32" t="s">
        <v>137</v>
      </c>
      <c r="AC27" s="32">
        <f>B27+D27+F27+H27+J27+L27+N27+P27</f>
        <v>327000</v>
      </c>
      <c r="AD27" s="53">
        <f>(252+16)/1000000</f>
        <v>0.000268</v>
      </c>
      <c r="AE27" s="53">
        <f>AC27*AD27</f>
        <v>87.63600000000001</v>
      </c>
      <c r="AG27" s="32">
        <v>21</v>
      </c>
    </row>
    <row r="28" spans="1:33" ht="14.25">
      <c r="A28" s="56">
        <v>43215</v>
      </c>
      <c r="C28" s="32">
        <f>B28*AD28</f>
        <v>0</v>
      </c>
      <c r="D28" s="32">
        <f>14000+66000</f>
        <v>80000</v>
      </c>
      <c r="E28" s="32">
        <f>D28*AD28</f>
        <v>21.44</v>
      </c>
      <c r="F28" s="32">
        <v>40000</v>
      </c>
      <c r="G28" s="32">
        <f>F28*AD28</f>
        <v>10.72</v>
      </c>
      <c r="I28" s="32">
        <f>H28*AD28</f>
        <v>0</v>
      </c>
      <c r="K28" s="32">
        <f>J28*AD28</f>
        <v>0</v>
      </c>
      <c r="L28" s="32">
        <v>130000</v>
      </c>
      <c r="M28" s="32">
        <f>L28*AD28</f>
        <v>34.84</v>
      </c>
      <c r="O28" s="32">
        <f>N28*AD28</f>
        <v>0</v>
      </c>
      <c r="Q28" s="32">
        <f>P28*AD28</f>
        <v>0</v>
      </c>
      <c r="T28" s="32" t="s">
        <v>137</v>
      </c>
      <c r="AB28" s="32" t="s">
        <v>214</v>
      </c>
      <c r="AC28" s="32">
        <f>B28+D28+F28+H28+J28+L28+N28+P28</f>
        <v>250000</v>
      </c>
      <c r="AD28" s="53">
        <f>(252+16)/1000000</f>
        <v>0.000268</v>
      </c>
      <c r="AE28" s="53">
        <f>AC28*AD28</f>
        <v>67</v>
      </c>
      <c r="AG28" s="32">
        <v>21</v>
      </c>
    </row>
    <row r="29" spans="1:33" ht="14.25">
      <c r="A29" s="56">
        <v>43216</v>
      </c>
      <c r="C29" s="32">
        <f>B29*AD29</f>
        <v>0</v>
      </c>
      <c r="D29" s="32">
        <v>108000</v>
      </c>
      <c r="E29" s="32">
        <f>D29*AD29</f>
        <v>28.944000000000003</v>
      </c>
      <c r="F29" s="32">
        <v>30000</v>
      </c>
      <c r="G29" s="32">
        <f>F29*AD29</f>
        <v>8.040000000000001</v>
      </c>
      <c r="H29" s="32">
        <f>10000*2</f>
        <v>20000</v>
      </c>
      <c r="I29" s="32">
        <f>H29*AD29</f>
        <v>5.36</v>
      </c>
      <c r="K29" s="32">
        <f>J29*AD29</f>
        <v>0</v>
      </c>
      <c r="L29" s="32">
        <v>130000</v>
      </c>
      <c r="M29" s="32">
        <f>L29*AD29</f>
        <v>34.84</v>
      </c>
      <c r="O29" s="32">
        <f>N29*AD29</f>
        <v>0</v>
      </c>
      <c r="Q29" s="32">
        <f>P29*AD29</f>
        <v>0</v>
      </c>
      <c r="T29" s="32" t="s">
        <v>137</v>
      </c>
      <c r="AB29" s="32" t="s">
        <v>214</v>
      </c>
      <c r="AC29" s="32">
        <f>B29+D29+F29+H29+J29+L29+N29+P29</f>
        <v>288000</v>
      </c>
      <c r="AD29" s="53">
        <f>(252+16)/1000000</f>
        <v>0.000268</v>
      </c>
      <c r="AE29" s="53">
        <f>AC29*AD29</f>
        <v>77.184</v>
      </c>
      <c r="AG29" s="32">
        <v>21</v>
      </c>
    </row>
    <row r="30" spans="1:33" ht="14.25">
      <c r="A30" s="56">
        <v>43217</v>
      </c>
      <c r="B30" s="32">
        <f>3500*4+220000*2</f>
        <v>454000</v>
      </c>
      <c r="C30" s="32">
        <f>B30*AD30</f>
        <v>121.672</v>
      </c>
      <c r="E30" s="32">
        <f>D30*AD30</f>
        <v>0</v>
      </c>
      <c r="F30" s="32">
        <v>30000</v>
      </c>
      <c r="G30" s="32">
        <f>F30*AD30</f>
        <v>8.040000000000001</v>
      </c>
      <c r="I30" s="32">
        <f>H30*AD30</f>
        <v>0</v>
      </c>
      <c r="K30" s="32">
        <f>J30*AD30</f>
        <v>0</v>
      </c>
      <c r="L30" s="32">
        <v>130000</v>
      </c>
      <c r="M30" s="32">
        <f>L30*AD30</f>
        <v>34.84</v>
      </c>
      <c r="O30" s="32">
        <f>N30*AD30</f>
        <v>0</v>
      </c>
      <c r="Q30" s="32">
        <f>P30*AD30</f>
        <v>0</v>
      </c>
      <c r="T30" s="32" t="s">
        <v>137</v>
      </c>
      <c r="AB30" s="32" t="s">
        <v>214</v>
      </c>
      <c r="AC30" s="32">
        <f>B30+D30+F30+H30+J30+L30+N30+P30</f>
        <v>614000</v>
      </c>
      <c r="AD30" s="53">
        <f>(252+16)/1000000</f>
        <v>0.000268</v>
      </c>
      <c r="AE30" s="53">
        <f>AC30*AD30</f>
        <v>164.552</v>
      </c>
      <c r="AG30" s="32">
        <v>21</v>
      </c>
    </row>
    <row r="31" spans="1:33" ht="14.25">
      <c r="A31" s="56">
        <v>43218</v>
      </c>
      <c r="C31" s="32">
        <f>B31*AD31</f>
        <v>0</v>
      </c>
      <c r="D31" s="32">
        <v>122000</v>
      </c>
      <c r="E31" s="32">
        <f>D31*AD31</f>
        <v>32.696</v>
      </c>
      <c r="F31" s="32">
        <v>45000</v>
      </c>
      <c r="G31" s="32">
        <f>F31*AD31</f>
        <v>12.06</v>
      </c>
      <c r="I31" s="32">
        <f>H31*AD31</f>
        <v>0</v>
      </c>
      <c r="K31" s="32">
        <f>J31*AD31</f>
        <v>0</v>
      </c>
      <c r="L31" s="32">
        <v>150000</v>
      </c>
      <c r="M31" s="32">
        <f>L31*AD31</f>
        <v>40.2</v>
      </c>
      <c r="O31" s="32">
        <f>N31*AD31</f>
        <v>0</v>
      </c>
      <c r="Q31" s="32">
        <f>P31*AD31</f>
        <v>0</v>
      </c>
      <c r="T31" s="32" t="s">
        <v>137</v>
      </c>
      <c r="AB31" s="32" t="s">
        <v>214</v>
      </c>
      <c r="AC31" s="32">
        <f>B31+D31+F31+H31+J31+L31+N31+P31</f>
        <v>317000</v>
      </c>
      <c r="AD31" s="53">
        <f>(252+16)/1000000</f>
        <v>0.000268</v>
      </c>
      <c r="AE31" s="53">
        <f>AC31*AD31</f>
        <v>84.956</v>
      </c>
      <c r="AG31" s="32">
        <v>21</v>
      </c>
    </row>
    <row r="32" spans="1:33" ht="14.25">
      <c r="A32" s="56">
        <v>43219</v>
      </c>
      <c r="B32" s="32">
        <f>3500*4</f>
        <v>14000</v>
      </c>
      <c r="C32" s="32">
        <f>B32*AD32</f>
        <v>3.7520000000000002</v>
      </c>
      <c r="D32" s="32">
        <v>14000</v>
      </c>
      <c r="E32" s="32">
        <f>D32*AD32</f>
        <v>3.7520000000000002</v>
      </c>
      <c r="F32" s="32">
        <f>44000+40000</f>
        <v>84000</v>
      </c>
      <c r="G32" s="32">
        <f>F32*AD32</f>
        <v>22.512</v>
      </c>
      <c r="I32" s="32">
        <f>H32*AD32</f>
        <v>0</v>
      </c>
      <c r="K32" s="32">
        <f>J32*AD32</f>
        <v>0</v>
      </c>
      <c r="M32" s="32">
        <f>L32*AD32</f>
        <v>0</v>
      </c>
      <c r="O32" s="32">
        <f>N32*AD32</f>
        <v>0</v>
      </c>
      <c r="Q32" s="32">
        <f>P32*AD32</f>
        <v>0</v>
      </c>
      <c r="Z32" s="32" t="s">
        <v>137</v>
      </c>
      <c r="AB32" s="32" t="s">
        <v>215</v>
      </c>
      <c r="AC32" s="32">
        <f>B32+D32+F32+H32+J32+L32+N32+P32</f>
        <v>112000</v>
      </c>
      <c r="AD32" s="53">
        <f>(252+16)/1000000</f>
        <v>0.000268</v>
      </c>
      <c r="AE32" s="53">
        <f>AC32*AD32</f>
        <v>30.016000000000002</v>
      </c>
      <c r="AG32" s="32">
        <v>21</v>
      </c>
    </row>
    <row r="33" spans="1:33" ht="14.25">
      <c r="A33" s="56">
        <v>43220</v>
      </c>
      <c r="B33" s="32">
        <f>3500*2</f>
        <v>7000</v>
      </c>
      <c r="C33" s="32">
        <f>B33*AD33</f>
        <v>1.8760000000000001</v>
      </c>
      <c r="D33" s="32">
        <v>83500</v>
      </c>
      <c r="E33" s="32">
        <f>D33*AD33</f>
        <v>22.378</v>
      </c>
      <c r="F33" s="32">
        <v>20000</v>
      </c>
      <c r="G33" s="32">
        <f>F33*AD33</f>
        <v>5.36</v>
      </c>
      <c r="I33" s="32">
        <f>H33*AD33</f>
        <v>0</v>
      </c>
      <c r="K33" s="32">
        <f>J33*AD33</f>
        <v>0</v>
      </c>
      <c r="L33" s="32">
        <v>140000</v>
      </c>
      <c r="M33" s="32">
        <f>L33*AD33</f>
        <v>37.52</v>
      </c>
      <c r="O33" s="32">
        <f>N33*AD33</f>
        <v>0</v>
      </c>
      <c r="Q33" s="32">
        <f>P33*AD33</f>
        <v>0</v>
      </c>
      <c r="T33" s="32" t="s">
        <v>137</v>
      </c>
      <c r="AB33" s="32" t="s">
        <v>216</v>
      </c>
      <c r="AC33" s="32">
        <f>B33+D33+F33+H33+J33+L33+N33+P33</f>
        <v>250500</v>
      </c>
      <c r="AD33" s="53">
        <f>(252+16)/1000000</f>
        <v>0.000268</v>
      </c>
      <c r="AE33" s="53">
        <f>AC33*AD33</f>
        <v>67.134</v>
      </c>
      <c r="AG33" s="32">
        <v>21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(252+16)/1000000</f>
        <v>0.000268</v>
      </c>
      <c r="AE34" s="53">
        <f>AC34*AD34</f>
        <v>0</v>
      </c>
      <c r="AG34" s="32">
        <v>21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(252+16)/1000000</f>
        <v>0.000268</v>
      </c>
      <c r="AE35" s="53">
        <f>AC35*AD35</f>
        <v>0</v>
      </c>
      <c r="AG35" s="32">
        <v>21</v>
      </c>
    </row>
    <row r="36" spans="3:33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32">
        <v>0.07063000000000001</v>
      </c>
      <c r="AE36" s="53">
        <f>AC36*AD36</f>
        <v>0</v>
      </c>
      <c r="AG36" s="32">
        <v>21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V1">
      <selection activeCell="A2" sqref="A2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43221</v>
      </c>
      <c r="C2" s="32">
        <f>B2*AD2</f>
        <v>0</v>
      </c>
      <c r="D2" s="32">
        <v>55500</v>
      </c>
      <c r="E2" s="32">
        <f>D2*AD2</f>
        <v>14.874</v>
      </c>
      <c r="F2" s="32">
        <v>80000</v>
      </c>
      <c r="G2" s="32">
        <f>F2*AD2</f>
        <v>21.44</v>
      </c>
      <c r="H2" s="32">
        <f>16000+33000</f>
        <v>49000</v>
      </c>
      <c r="I2" s="32">
        <f>H2*AD2</f>
        <v>13.132</v>
      </c>
      <c r="J2" s="32">
        <f>5000</f>
        <v>5000</v>
      </c>
      <c r="K2" s="32">
        <f>J2*AD2</f>
        <v>1.34</v>
      </c>
      <c r="L2" s="32">
        <v>140000</v>
      </c>
      <c r="M2" s="32">
        <f>L2*AD2</f>
        <v>37.52</v>
      </c>
      <c r="O2" s="32">
        <f>N2*AD2</f>
        <v>0</v>
      </c>
      <c r="Q2" s="32">
        <f>P2*AD2</f>
        <v>0</v>
      </c>
      <c r="T2" s="32" t="s">
        <v>137</v>
      </c>
      <c r="AB2" s="32" t="s">
        <v>216</v>
      </c>
      <c r="AC2" s="32">
        <f>B2+D2+F2+H2+J2+L2+N2+P2</f>
        <v>329500</v>
      </c>
      <c r="AD2" s="53">
        <f>(252+16)/1000000</f>
        <v>0.000268</v>
      </c>
      <c r="AE2" s="53">
        <f>AC2*AD2</f>
        <v>88.306</v>
      </c>
      <c r="AG2" s="32">
        <v>21</v>
      </c>
      <c r="AI2" s="32" t="s">
        <v>139</v>
      </c>
      <c r="AJ2" s="55">
        <f>SUM($AE$2:$AE$995)</f>
        <v>3642.7471200000005</v>
      </c>
      <c r="AL2" s="32" t="s">
        <v>140</v>
      </c>
      <c r="AM2" s="57">
        <f>$AJ$2/$AJ$5</f>
        <v>117.50797161290323</v>
      </c>
      <c r="AO2" s="32" t="s">
        <v>141</v>
      </c>
      <c r="AP2" s="32">
        <f>COUNTBLANK(L2:L41)-COUNTBLANK(A2:A41)</f>
        <v>4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43222</v>
      </c>
      <c r="B3" s="32">
        <f>3500*4+25000*4</f>
        <v>114000</v>
      </c>
      <c r="C3" s="32">
        <f>B3*AD3</f>
        <v>30.552</v>
      </c>
      <c r="D3" s="32">
        <v>60500</v>
      </c>
      <c r="E3" s="32">
        <f>D3*AD3</f>
        <v>16.214000000000002</v>
      </c>
      <c r="F3" s="32">
        <v>26000</v>
      </c>
      <c r="G3" s="32">
        <f>F3*AD3</f>
        <v>6.968</v>
      </c>
      <c r="H3" s="32">
        <v>1080000</v>
      </c>
      <c r="I3" s="32">
        <f>H3*AD3</f>
        <v>289.44</v>
      </c>
      <c r="J3" s="32">
        <v>4000</v>
      </c>
      <c r="K3" s="32">
        <f>J3*AD3</f>
        <v>1.072</v>
      </c>
      <c r="L3" s="32">
        <v>140000</v>
      </c>
      <c r="M3" s="32">
        <f>L3*AD3</f>
        <v>37.52</v>
      </c>
      <c r="O3" s="32">
        <f>N3*AD3</f>
        <v>0</v>
      </c>
      <c r="Q3" s="32">
        <f>P3*AD3</f>
        <v>0</v>
      </c>
      <c r="T3" s="32" t="s">
        <v>137</v>
      </c>
      <c r="AB3" s="32" t="s">
        <v>216</v>
      </c>
      <c r="AC3" s="32">
        <f>B3+D3+F3+H3+J3+L3+N3+P3</f>
        <v>1424500</v>
      </c>
      <c r="AD3" s="53">
        <f>(252+16)/1000000</f>
        <v>0.000268</v>
      </c>
      <c r="AE3" s="53">
        <f>AC3*AD3</f>
        <v>381.766</v>
      </c>
      <c r="AG3" s="32">
        <v>21</v>
      </c>
      <c r="AI3" s="59"/>
      <c r="AL3" s="59"/>
      <c r="AM3" s="57"/>
      <c r="AO3" s="32" t="s">
        <v>145</v>
      </c>
      <c r="AP3" s="32">
        <f>COUNT(L2:L37)</f>
        <v>27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43223</v>
      </c>
      <c r="B4" s="32">
        <f>3500*4</f>
        <v>14000</v>
      </c>
      <c r="C4" s="32">
        <f>B4*AD4</f>
        <v>3.7520000000000002</v>
      </c>
      <c r="E4" s="32">
        <f>D4*AD4</f>
        <v>0</v>
      </c>
      <c r="F4" s="32">
        <f>34000+23000</f>
        <v>57000</v>
      </c>
      <c r="G4" s="32">
        <f>F4*AD4</f>
        <v>15.276</v>
      </c>
      <c r="I4" s="32">
        <f>H4*AD4</f>
        <v>0</v>
      </c>
      <c r="J4" s="32">
        <v>2000</v>
      </c>
      <c r="K4" s="32">
        <f>J4*AD4</f>
        <v>0.536</v>
      </c>
      <c r="L4" s="32">
        <v>140000</v>
      </c>
      <c r="M4" s="32">
        <f>L4*AD4</f>
        <v>37.52</v>
      </c>
      <c r="O4" s="32">
        <f>N4*AD4</f>
        <v>0</v>
      </c>
      <c r="Q4" s="32">
        <f>P4*AD4</f>
        <v>0</v>
      </c>
      <c r="T4" s="32" t="s">
        <v>137</v>
      </c>
      <c r="AB4" s="32" t="s">
        <v>216</v>
      </c>
      <c r="AC4" s="32">
        <f>B4+D4+F4+H4+J4+L4+N4+P4</f>
        <v>213000</v>
      </c>
      <c r="AD4" s="53">
        <f>(252+16)/1000000</f>
        <v>0.000268</v>
      </c>
      <c r="AE4" s="53">
        <f>AC4*AD4</f>
        <v>57.084</v>
      </c>
      <c r="AG4" s="32">
        <v>21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43224</v>
      </c>
      <c r="C5" s="32">
        <f>B5*AD5</f>
        <v>0</v>
      </c>
      <c r="D5" s="4">
        <v>37540</v>
      </c>
      <c r="E5" s="32">
        <f>D5*AD5</f>
        <v>10.06072</v>
      </c>
      <c r="F5" s="32">
        <f>26000+26000</f>
        <v>52000</v>
      </c>
      <c r="G5" s="32">
        <f>F5*AD5</f>
        <v>13.936</v>
      </c>
      <c r="I5" s="32">
        <f>H5*AD5</f>
        <v>0</v>
      </c>
      <c r="K5" s="32">
        <f>J5*AD5</f>
        <v>0</v>
      </c>
      <c r="L5" s="32">
        <v>144000</v>
      </c>
      <c r="M5" s="32">
        <f>L5*AD5</f>
        <v>38.592</v>
      </c>
      <c r="O5" s="32">
        <f>N5*AD5</f>
        <v>0</v>
      </c>
      <c r="Q5" s="32">
        <f>P5*AD5</f>
        <v>0</v>
      </c>
      <c r="T5" s="32" t="s">
        <v>137</v>
      </c>
      <c r="AB5" s="32" t="s">
        <v>216</v>
      </c>
      <c r="AC5" s="32">
        <f>B5+D5+F5+H5+J5+L5+N5+P5</f>
        <v>233540</v>
      </c>
      <c r="AD5" s="53">
        <f>(252+16)/1000000</f>
        <v>0.000268</v>
      </c>
      <c r="AE5" s="53">
        <f>AC5*AD5</f>
        <v>62.58872</v>
      </c>
      <c r="AG5" s="32">
        <v>21</v>
      </c>
      <c r="AI5" s="32" t="s">
        <v>153</v>
      </c>
      <c r="AJ5" s="32">
        <f>COUNTA(A2:A350)</f>
        <v>31</v>
      </c>
      <c r="AO5" s="32" t="s">
        <v>154</v>
      </c>
      <c r="AP5" s="32">
        <f>COUNTA(R2:R50)</f>
        <v>0</v>
      </c>
    </row>
    <row r="6" spans="1:42" ht="14.25">
      <c r="A6" s="56">
        <v>43225</v>
      </c>
      <c r="B6" s="32">
        <f>3500*2+275000*2</f>
        <v>557000</v>
      </c>
      <c r="C6" s="32">
        <f>B6*AD6</f>
        <v>149.276</v>
      </c>
      <c r="D6" s="4">
        <f>46400</f>
        <v>46400</v>
      </c>
      <c r="E6" s="32">
        <f>D6*AD6</f>
        <v>12.4352</v>
      </c>
      <c r="F6" s="32">
        <f>38000+36000</f>
        <v>74000</v>
      </c>
      <c r="G6" s="32">
        <f>F6*AD6</f>
        <v>19.832</v>
      </c>
      <c r="H6" s="32">
        <f>15000*2+1000</f>
        <v>31000</v>
      </c>
      <c r="I6" s="32">
        <f>H6*AD6</f>
        <v>8.308</v>
      </c>
      <c r="K6" s="32">
        <f>J6*AD6</f>
        <v>0</v>
      </c>
      <c r="L6" s="32">
        <v>144000</v>
      </c>
      <c r="M6" s="32">
        <f>L6*AD6</f>
        <v>38.592</v>
      </c>
      <c r="O6" s="32">
        <f>N6*AD6</f>
        <v>0</v>
      </c>
      <c r="Q6" s="32">
        <f>P6*AD6</f>
        <v>0</v>
      </c>
      <c r="T6" s="32" t="s">
        <v>137</v>
      </c>
      <c r="AB6" s="32" t="s">
        <v>216</v>
      </c>
      <c r="AC6" s="32">
        <f>B6+D6+F6+H6+J6+L6+N6+P6</f>
        <v>852400</v>
      </c>
      <c r="AD6" s="53">
        <f>(252+16)/1000000</f>
        <v>0.000268</v>
      </c>
      <c r="AE6" s="53">
        <f>AC6*AD6</f>
        <v>228.44320000000002</v>
      </c>
      <c r="AG6" s="32">
        <v>21</v>
      </c>
      <c r="AI6" s="59"/>
      <c r="AO6" s="32" t="s">
        <v>156</v>
      </c>
      <c r="AP6" s="32">
        <f>COUNTA(T2:T50)</f>
        <v>27</v>
      </c>
    </row>
    <row r="7" spans="1:42" ht="14.25">
      <c r="A7" s="56">
        <v>43226</v>
      </c>
      <c r="B7" s="32">
        <f>3500*2</f>
        <v>7000</v>
      </c>
      <c r="C7" s="32">
        <f>B7*AD7</f>
        <v>1.8760000000000001</v>
      </c>
      <c r="E7" s="32">
        <f>D7*AD7</f>
        <v>0</v>
      </c>
      <c r="F7" s="32">
        <v>36000</v>
      </c>
      <c r="G7" s="32">
        <f>F7*AD7</f>
        <v>9.648</v>
      </c>
      <c r="I7" s="32">
        <f>H7*AD7</f>
        <v>0</v>
      </c>
      <c r="K7" s="32">
        <f>J7*AD7</f>
        <v>0</v>
      </c>
      <c r="M7" s="32">
        <f>L7*AD7</f>
        <v>0</v>
      </c>
      <c r="O7" s="32">
        <f>N7*AD7</f>
        <v>0</v>
      </c>
      <c r="Q7" s="32">
        <f>P7*AD7</f>
        <v>0</v>
      </c>
      <c r="Z7" s="32" t="s">
        <v>137</v>
      </c>
      <c r="AB7" s="32" t="s">
        <v>217</v>
      </c>
      <c r="AC7" s="32">
        <f>B7+D7+F7+H7+J7+L7+N7+P7</f>
        <v>43000</v>
      </c>
      <c r="AD7" s="53">
        <f>(252+16)/1000000</f>
        <v>0.000268</v>
      </c>
      <c r="AE7" s="53">
        <f>AC7*AD7</f>
        <v>11.524000000000001</v>
      </c>
      <c r="AG7" s="32">
        <v>21</v>
      </c>
      <c r="AL7" s="32" t="s">
        <v>158</v>
      </c>
      <c r="AO7" s="32" t="s">
        <v>126</v>
      </c>
      <c r="AP7" s="32">
        <f>COUNTA(U2:U50)</f>
        <v>0</v>
      </c>
    </row>
    <row r="8" spans="1:42" ht="14.25">
      <c r="A8" s="56">
        <v>43227</v>
      </c>
      <c r="B8" s="32">
        <f>15000+20000+20000</f>
        <v>55000</v>
      </c>
      <c r="C8" s="32">
        <f>B8*AD8</f>
        <v>14.74</v>
      </c>
      <c r="D8" s="32">
        <f>20000</f>
        <v>20000</v>
      </c>
      <c r="E8" s="32">
        <f>D8*AD8</f>
        <v>5.36</v>
      </c>
      <c r="F8" s="32">
        <f>38000+70000</f>
        <v>108000</v>
      </c>
      <c r="G8" s="32">
        <f>F8*AD8</f>
        <v>28.944000000000003</v>
      </c>
      <c r="I8" s="32">
        <f>H8*AD8</f>
        <v>0</v>
      </c>
      <c r="J8" s="32">
        <v>5000</v>
      </c>
      <c r="K8" s="32">
        <f>J8*AD8</f>
        <v>1.34</v>
      </c>
      <c r="L8" s="32">
        <v>110000</v>
      </c>
      <c r="M8" s="32">
        <f>L8*AD8</f>
        <v>29.48</v>
      </c>
      <c r="O8" s="32">
        <f>N8*AD8</f>
        <v>0</v>
      </c>
      <c r="Q8" s="32">
        <f>P8*AD8</f>
        <v>0</v>
      </c>
      <c r="T8" s="32" t="s">
        <v>137</v>
      </c>
      <c r="AB8" s="32" t="s">
        <v>218</v>
      </c>
      <c r="AC8" s="32">
        <f>B8+D8+F8+H8+J8+L8+N8+P8</f>
        <v>298000</v>
      </c>
      <c r="AD8" s="53">
        <f>(252+16)/1000000</f>
        <v>0.000268</v>
      </c>
      <c r="AE8" s="53">
        <f>AC8*AD8</f>
        <v>79.864</v>
      </c>
      <c r="AG8" s="32">
        <v>21</v>
      </c>
      <c r="AI8" s="32" t="s">
        <v>160</v>
      </c>
      <c r="AJ8" s="55">
        <f>SUM(M2:M995)</f>
        <v>827.5839999999998</v>
      </c>
      <c r="AL8" s="32" t="s">
        <v>119</v>
      </c>
      <c r="AM8" s="55">
        <f>AJ8/$AJ$5</f>
        <v>26.696258064516122</v>
      </c>
      <c r="AO8" s="32" t="s">
        <v>161</v>
      </c>
      <c r="AP8" s="32">
        <f>COUNTA(S2:S50)</f>
        <v>0</v>
      </c>
    </row>
    <row r="9" spans="1:42" ht="14.25">
      <c r="A9" s="56">
        <v>43228</v>
      </c>
      <c r="B9" s="1">
        <v>65000</v>
      </c>
      <c r="C9" s="32">
        <f>B9*AD9</f>
        <v>17.42</v>
      </c>
      <c r="D9" s="32">
        <f>13500+10000</f>
        <v>23500</v>
      </c>
      <c r="E9" s="32">
        <f>D9*AD9</f>
        <v>6.298</v>
      </c>
      <c r="F9" s="32">
        <f>42000+38000</f>
        <v>80000</v>
      </c>
      <c r="G9" s="32">
        <f>F9*AD9</f>
        <v>21.44</v>
      </c>
      <c r="H9" s="32">
        <f>60000</f>
        <v>60000</v>
      </c>
      <c r="I9" s="32">
        <f>H9*AD9</f>
        <v>16.080000000000002</v>
      </c>
      <c r="J9" s="32">
        <f>35000+2000+1000+2000+1000+20000</f>
        <v>61000</v>
      </c>
      <c r="K9" s="32">
        <f>J9*AD9</f>
        <v>16.348</v>
      </c>
      <c r="L9" s="32">
        <v>110000</v>
      </c>
      <c r="M9" s="32">
        <f>L9*AD9</f>
        <v>29.48</v>
      </c>
      <c r="O9" s="32">
        <f>N9*AD9</f>
        <v>0</v>
      </c>
      <c r="Q9" s="32">
        <f>P9*AD9</f>
        <v>0</v>
      </c>
      <c r="T9" s="32" t="s">
        <v>137</v>
      </c>
      <c r="AB9" s="32" t="s">
        <v>218</v>
      </c>
      <c r="AC9" s="32">
        <f>B9+D9+F9+H9+J9+L9+N9+P9</f>
        <v>399500</v>
      </c>
      <c r="AD9" s="53">
        <f>(252+16)/1000000</f>
        <v>0.000268</v>
      </c>
      <c r="AE9" s="53">
        <f>AC9*AD9</f>
        <v>107.066</v>
      </c>
      <c r="AG9" s="32">
        <v>21</v>
      </c>
      <c r="AI9" s="32" t="s">
        <v>163</v>
      </c>
      <c r="AJ9" s="55">
        <f>SUM(C2:C995)</f>
        <v>705.6440000000001</v>
      </c>
      <c r="AL9" s="32" t="s">
        <v>109</v>
      </c>
      <c r="AM9" s="55">
        <f>AJ9/$AJ$5</f>
        <v>22.76270967741936</v>
      </c>
      <c r="AO9" s="32" t="s">
        <v>127</v>
      </c>
      <c r="AP9" s="32">
        <f>COUNTA(V2:V51)</f>
        <v>0</v>
      </c>
    </row>
    <row r="10" spans="1:42" ht="14.25">
      <c r="A10" s="56">
        <v>43229</v>
      </c>
      <c r="B10" s="32">
        <v>65000</v>
      </c>
      <c r="C10" s="32">
        <f>B10*AD10</f>
        <v>17.42</v>
      </c>
      <c r="D10" s="32">
        <f>17500+6900+6900</f>
        <v>31300</v>
      </c>
      <c r="E10" s="32">
        <f>D10*AD10</f>
        <v>8.3884</v>
      </c>
      <c r="F10" s="32">
        <f>75000+50000</f>
        <v>125000</v>
      </c>
      <c r="G10" s="32">
        <f>F10*AD10</f>
        <v>33.5</v>
      </c>
      <c r="I10" s="32">
        <f>H10*AD10</f>
        <v>0</v>
      </c>
      <c r="K10" s="32">
        <f>J10*AD10</f>
        <v>0</v>
      </c>
      <c r="L10" s="32">
        <v>90000</v>
      </c>
      <c r="M10" s="32">
        <f>L10*AD10</f>
        <v>24.12</v>
      </c>
      <c r="O10" s="32">
        <f>N10*AD10</f>
        <v>0</v>
      </c>
      <c r="P10" s="32">
        <f>355000*2</f>
        <v>710000</v>
      </c>
      <c r="Q10" s="32">
        <f>P10*AD10</f>
        <v>190.28</v>
      </c>
      <c r="T10" s="32" t="s">
        <v>137</v>
      </c>
      <c r="AB10" s="32" t="s">
        <v>218</v>
      </c>
      <c r="AC10" s="32">
        <f>B10+D10+F10+H10+J10+L10+N10+P10</f>
        <v>1021300</v>
      </c>
      <c r="AD10" s="53">
        <f>(252+16)/1000000</f>
        <v>0.000268</v>
      </c>
      <c r="AE10" s="53">
        <f>AC10*AD10</f>
        <v>273.7084</v>
      </c>
      <c r="AG10" s="32">
        <v>21</v>
      </c>
      <c r="AI10" s="32" t="s">
        <v>164</v>
      </c>
      <c r="AJ10" s="55">
        <f>SUM(E2:E995)</f>
        <v>334.01912</v>
      </c>
      <c r="AL10" s="32" t="s">
        <v>51</v>
      </c>
      <c r="AM10" s="55">
        <f>AJ10/$AJ$5</f>
        <v>10.774810322580645</v>
      </c>
      <c r="AO10" s="32" t="s">
        <v>130</v>
      </c>
      <c r="AP10" s="32">
        <f>COUNTA(Y2:Y52)</f>
        <v>0</v>
      </c>
    </row>
    <row r="11" spans="1:42" ht="14.25">
      <c r="A11" s="56">
        <v>43230</v>
      </c>
      <c r="B11" s="32">
        <f>65000+18000</f>
        <v>83000</v>
      </c>
      <c r="C11" s="32">
        <f>B11*AD11</f>
        <v>22.244</v>
      </c>
      <c r="D11" s="32">
        <f>38300</f>
        <v>38300</v>
      </c>
      <c r="E11" s="32">
        <f>D11*AD11</f>
        <v>10.2644</v>
      </c>
      <c r="F11" s="32">
        <f>40000+46000</f>
        <v>86000</v>
      </c>
      <c r="G11" s="32">
        <f>F11*AD11</f>
        <v>23.048000000000002</v>
      </c>
      <c r="H11" s="32">
        <f>50000*2+10000*2</f>
        <v>120000</v>
      </c>
      <c r="I11" s="32">
        <f>H11*AD11</f>
        <v>32.160000000000004</v>
      </c>
      <c r="J11" s="32">
        <f>100000</f>
        <v>100000</v>
      </c>
      <c r="K11" s="32">
        <f>J11*AD11</f>
        <v>26.8</v>
      </c>
      <c r="L11" s="32">
        <v>90000</v>
      </c>
      <c r="M11" s="32">
        <f>L11*AD11</f>
        <v>24.12</v>
      </c>
      <c r="O11" s="32">
        <f>N11*AD11</f>
        <v>0</v>
      </c>
      <c r="Q11" s="32">
        <f>P11*AD11</f>
        <v>0</v>
      </c>
      <c r="T11" s="32" t="s">
        <v>137</v>
      </c>
      <c r="AB11" s="60" t="s">
        <v>218</v>
      </c>
      <c r="AC11" s="32">
        <f>B11+D11+F11+H11+J11+L11+N11+P11</f>
        <v>517300</v>
      </c>
      <c r="AD11" s="53">
        <f>(252+16)/1000000</f>
        <v>0.000268</v>
      </c>
      <c r="AE11" s="53">
        <f>AC11*AD11</f>
        <v>138.6364</v>
      </c>
      <c r="AG11" s="32">
        <v>21</v>
      </c>
      <c r="AI11" s="32" t="s">
        <v>165</v>
      </c>
      <c r="AJ11" s="55">
        <f>SUM(G2:G995)</f>
        <v>621.7600000000001</v>
      </c>
      <c r="AL11" s="32" t="s">
        <v>166</v>
      </c>
      <c r="AM11" s="55">
        <f>AJ11/$AJ$5</f>
        <v>20.05677419354839</v>
      </c>
      <c r="AO11" s="32" t="s">
        <v>167</v>
      </c>
      <c r="AP11" s="32">
        <f>COUNTA(Z2:Z53)</f>
        <v>4</v>
      </c>
    </row>
    <row r="12" spans="1:42" ht="14.25">
      <c r="A12" s="56">
        <v>43231</v>
      </c>
      <c r="B12" s="32">
        <v>65000</v>
      </c>
      <c r="C12" s="32">
        <f>B12*AD12</f>
        <v>17.42</v>
      </c>
      <c r="D12" s="32">
        <v>35100</v>
      </c>
      <c r="E12" s="32">
        <f>D12*AD12</f>
        <v>9.4068</v>
      </c>
      <c r="F12" s="32">
        <f>40000+50000</f>
        <v>90000</v>
      </c>
      <c r="G12" s="32">
        <f>F12*AD12</f>
        <v>24.12</v>
      </c>
      <c r="I12" s="32">
        <f>H12*AD12</f>
        <v>0</v>
      </c>
      <c r="K12" s="32">
        <f>J12*AD12</f>
        <v>0</v>
      </c>
      <c r="L12" s="32">
        <v>90000</v>
      </c>
      <c r="M12" s="32">
        <f>L12*AD12</f>
        <v>24.12</v>
      </c>
      <c r="O12" s="32">
        <f>N12*AD12</f>
        <v>0</v>
      </c>
      <c r="Q12" s="32">
        <f>P12*AD12</f>
        <v>0</v>
      </c>
      <c r="T12" s="32" t="s">
        <v>137</v>
      </c>
      <c r="AB12" s="60" t="s">
        <v>218</v>
      </c>
      <c r="AC12" s="32">
        <f>B12+D12+F12+H12+J12+L12+N12+P12</f>
        <v>280100</v>
      </c>
      <c r="AD12" s="53">
        <f>(252+16)/1000000</f>
        <v>0.000268</v>
      </c>
      <c r="AE12" s="53">
        <f>AC12*AD12</f>
        <v>75.0668</v>
      </c>
      <c r="AG12" s="32">
        <v>21</v>
      </c>
      <c r="AI12" s="32" t="s">
        <v>168</v>
      </c>
      <c r="AJ12" s="55">
        <f>SUM(K2:K995)</f>
        <v>73.70000000000002</v>
      </c>
      <c r="AL12" s="32" t="s">
        <v>117</v>
      </c>
      <c r="AM12" s="55">
        <f>AJ12/$AJ$5</f>
        <v>2.37741935483871</v>
      </c>
      <c r="AO12" s="32" t="s">
        <v>129</v>
      </c>
      <c r="AP12" s="32">
        <f>COUNTA(X2:X54)</f>
        <v>0</v>
      </c>
    </row>
    <row r="13" spans="1:39" ht="14.25">
      <c r="A13" s="56">
        <v>43232</v>
      </c>
      <c r="B13" s="1">
        <f>65000+30000</f>
        <v>95000</v>
      </c>
      <c r="C13" s="32">
        <f>B13*AD13</f>
        <v>25.46</v>
      </c>
      <c r="D13" s="32">
        <f>4000+3200</f>
        <v>7200</v>
      </c>
      <c r="E13" s="32">
        <f>D13*AD13</f>
        <v>1.9296</v>
      </c>
      <c r="F13" s="32">
        <f>40000+50000</f>
        <v>90000</v>
      </c>
      <c r="G13" s="32">
        <f>F13*AD13</f>
        <v>24.12</v>
      </c>
      <c r="H13" s="32">
        <v>20000</v>
      </c>
      <c r="I13" s="32">
        <f>H13*AD13</f>
        <v>5.36</v>
      </c>
      <c r="J13" s="32">
        <v>65000</v>
      </c>
      <c r="K13" s="32">
        <f>J13*AD13</f>
        <v>17.42</v>
      </c>
      <c r="L13" s="32">
        <v>90000</v>
      </c>
      <c r="M13" s="32">
        <f>L13*AD13</f>
        <v>24.12</v>
      </c>
      <c r="O13" s="32">
        <f>N13*AD13</f>
        <v>0</v>
      </c>
      <c r="Q13" s="32">
        <f>P13*AD13</f>
        <v>0</v>
      </c>
      <c r="T13" s="32" t="s">
        <v>137</v>
      </c>
      <c r="AB13" s="60" t="s">
        <v>218</v>
      </c>
      <c r="AC13" s="32">
        <f>B13+D13+F13+H13+J13+L13+N13+P13</f>
        <v>367200</v>
      </c>
      <c r="AD13" s="53">
        <f>(252+16)/1000000</f>
        <v>0.000268</v>
      </c>
      <c r="AE13" s="53">
        <f>AC13*AD13</f>
        <v>98.4096</v>
      </c>
      <c r="AG13" s="32">
        <v>21</v>
      </c>
      <c r="AI13" s="32" t="s">
        <v>169</v>
      </c>
      <c r="AJ13" s="55">
        <f>SUM(I2:I995)</f>
        <v>889.76</v>
      </c>
      <c r="AL13" s="32" t="s">
        <v>115</v>
      </c>
      <c r="AM13" s="55">
        <f>AJ13/$AJ$5</f>
        <v>28.70193548387097</v>
      </c>
    </row>
    <row r="14" spans="1:36" ht="14.25">
      <c r="A14" s="56">
        <v>43233</v>
      </c>
      <c r="B14" s="32">
        <v>65000</v>
      </c>
      <c r="C14" s="32">
        <f>B14*AD14</f>
        <v>17.42</v>
      </c>
      <c r="D14" s="32">
        <f>157000+4000</f>
        <v>161000</v>
      </c>
      <c r="E14" s="32">
        <f>D14*AD14</f>
        <v>43.148</v>
      </c>
      <c r="F14" s="32">
        <f>56000+45000</f>
        <v>101000</v>
      </c>
      <c r="G14" s="32">
        <f>F14*AD14</f>
        <v>27.068</v>
      </c>
      <c r="I14" s="32">
        <f>H14*AD14</f>
        <v>0</v>
      </c>
      <c r="K14" s="32">
        <f>J14*AD14</f>
        <v>0</v>
      </c>
      <c r="L14" s="32">
        <v>110000</v>
      </c>
      <c r="M14" s="32">
        <f>L14*AD14</f>
        <v>29.48</v>
      </c>
      <c r="O14" s="32">
        <f>N14*AD14</f>
        <v>0</v>
      </c>
      <c r="Q14" s="32">
        <f>P14*AD14</f>
        <v>0</v>
      </c>
      <c r="T14" s="32" t="s">
        <v>137</v>
      </c>
      <c r="AB14" s="60" t="s">
        <v>218</v>
      </c>
      <c r="AC14" s="32">
        <f>B14+D14+F14+H14+J14+L14+N14+P14</f>
        <v>437000</v>
      </c>
      <c r="AD14" s="53">
        <f>(252+16)/1000000</f>
        <v>0.000268</v>
      </c>
      <c r="AE14" s="53">
        <f>AC14*AD14</f>
        <v>117.116</v>
      </c>
      <c r="AG14" s="32">
        <v>21</v>
      </c>
      <c r="AI14" s="32" t="s">
        <v>171</v>
      </c>
      <c r="AJ14" s="55">
        <f>SUM(O2:O995)</f>
        <v>0</v>
      </c>
    </row>
    <row r="15" spans="1:36" ht="14.25">
      <c r="A15" s="56">
        <v>43234</v>
      </c>
      <c r="B15" s="32">
        <f>65000+10000</f>
        <v>75000</v>
      </c>
      <c r="C15" s="32">
        <f>B15*AD15</f>
        <v>20.1</v>
      </c>
      <c r="D15" s="32">
        <f>31500</f>
        <v>31500</v>
      </c>
      <c r="E15" s="32">
        <f>D15*AD15</f>
        <v>8.442</v>
      </c>
      <c r="F15" s="32">
        <f>38000+174000</f>
        <v>212000</v>
      </c>
      <c r="G15" s="32">
        <f>F15*AD15</f>
        <v>56.816</v>
      </c>
      <c r="I15" s="32">
        <f>H15*AD15</f>
        <v>0</v>
      </c>
      <c r="J15" s="32">
        <f>2000+2000</f>
        <v>4000</v>
      </c>
      <c r="K15" s="32">
        <f>J15*AD15</f>
        <v>1.072</v>
      </c>
      <c r="L15" s="32">
        <v>110000</v>
      </c>
      <c r="M15" s="32">
        <f>L15*AD15</f>
        <v>29.48</v>
      </c>
      <c r="O15" s="32">
        <f>N15*AD15</f>
        <v>0</v>
      </c>
      <c r="Q15" s="32">
        <f>P15*AD15</f>
        <v>0</v>
      </c>
      <c r="T15" s="32" t="s">
        <v>137</v>
      </c>
      <c r="AB15" s="60" t="s">
        <v>218</v>
      </c>
      <c r="AC15" s="32">
        <f>B15+D15+F15+H15+J15+L15+N15+P15</f>
        <v>432500</v>
      </c>
      <c r="AD15" s="53">
        <f>(252+16)/1000000</f>
        <v>0.000268</v>
      </c>
      <c r="AE15" s="53">
        <f>AC15*AD15</f>
        <v>115.91000000000001</v>
      </c>
      <c r="AG15" s="32">
        <v>21</v>
      </c>
      <c r="AI15" s="32" t="s">
        <v>173</v>
      </c>
      <c r="AJ15" s="32">
        <f>SUM(Q2:Q61)</f>
        <v>190.28</v>
      </c>
    </row>
    <row r="16" spans="1:35" ht="14.25">
      <c r="A16" s="56">
        <v>43235</v>
      </c>
      <c r="B16" s="32">
        <v>65000</v>
      </c>
      <c r="C16" s="32">
        <f>B16*AD16</f>
        <v>17.42</v>
      </c>
      <c r="D16" s="32">
        <v>5500</v>
      </c>
      <c r="E16" s="32">
        <f>D16*AD16</f>
        <v>1.474</v>
      </c>
      <c r="F16" s="32">
        <f>38000+50000</f>
        <v>88000</v>
      </c>
      <c r="G16" s="32">
        <f>F16*AD16</f>
        <v>23.584</v>
      </c>
      <c r="H16" s="32">
        <v>30000</v>
      </c>
      <c r="I16" s="32">
        <f>H16*AD16</f>
        <v>8.040000000000001</v>
      </c>
      <c r="J16" s="32">
        <v>25000</v>
      </c>
      <c r="K16" s="32">
        <f>J16*AD16</f>
        <v>6.7</v>
      </c>
      <c r="L16" s="32">
        <v>110000</v>
      </c>
      <c r="M16" s="32">
        <f>L16*AD16</f>
        <v>29.48</v>
      </c>
      <c r="O16" s="32">
        <f>N16*AD16</f>
        <v>0</v>
      </c>
      <c r="Q16" s="32">
        <f>P16*AD16</f>
        <v>0</v>
      </c>
      <c r="T16" s="32" t="s">
        <v>137</v>
      </c>
      <c r="AB16" s="60" t="s">
        <v>218</v>
      </c>
      <c r="AC16" s="32">
        <f>B16+D16+F16+H16+J16+L16+N16+P16</f>
        <v>323500</v>
      </c>
      <c r="AD16" s="53">
        <f>(252+16)/1000000</f>
        <v>0.000268</v>
      </c>
      <c r="AE16" s="53">
        <f>AC16*AD16</f>
        <v>86.69800000000001</v>
      </c>
      <c r="AG16" s="32">
        <v>21</v>
      </c>
      <c r="AI16" s="59"/>
    </row>
    <row r="17" spans="1:44" ht="14.25">
      <c r="A17" s="56">
        <v>43236</v>
      </c>
      <c r="C17" s="32">
        <f>B17*AD17</f>
        <v>0</v>
      </c>
      <c r="D17" s="32">
        <v>22000</v>
      </c>
      <c r="E17" s="32">
        <f>D17*AD17</f>
        <v>5.896</v>
      </c>
      <c r="F17" s="32">
        <f>38000+50000</f>
        <v>88000</v>
      </c>
      <c r="G17" s="32">
        <f>F17*AD17</f>
        <v>23.584</v>
      </c>
      <c r="I17" s="32">
        <f>H17*AD17</f>
        <v>0</v>
      </c>
      <c r="K17" s="32">
        <f>J17*AD17</f>
        <v>0</v>
      </c>
      <c r="L17" s="32">
        <v>110000</v>
      </c>
      <c r="M17" s="32">
        <f>L17*AD17</f>
        <v>29.48</v>
      </c>
      <c r="O17" s="32">
        <f>N17*AD17</f>
        <v>0</v>
      </c>
      <c r="Q17" s="32">
        <f>P17*AD17</f>
        <v>0</v>
      </c>
      <c r="T17" s="32" t="s">
        <v>137</v>
      </c>
      <c r="AB17" s="60" t="s">
        <v>218</v>
      </c>
      <c r="AC17" s="32">
        <f>B17+D17+F17+H17+J17+L17+N17+P17</f>
        <v>220000</v>
      </c>
      <c r="AD17" s="53">
        <f>(252+16)/1000000</f>
        <v>0.000268</v>
      </c>
      <c r="AE17" s="53">
        <f>AC17*AD17</f>
        <v>58.96</v>
      </c>
      <c r="AG17" s="32">
        <v>21</v>
      </c>
      <c r="AR17" s="54"/>
    </row>
    <row r="18" spans="1:44" ht="14.25">
      <c r="A18" s="56">
        <v>43237</v>
      </c>
      <c r="B18" s="32">
        <f>50000+10000+461000</f>
        <v>521000</v>
      </c>
      <c r="C18" s="32">
        <f>B18*AD18</f>
        <v>139.62800000000001</v>
      </c>
      <c r="D18" s="32">
        <v>103000</v>
      </c>
      <c r="E18" s="32">
        <f>D18*AD18</f>
        <v>27.604</v>
      </c>
      <c r="F18" s="32">
        <f>38000+50000</f>
        <v>88000</v>
      </c>
      <c r="G18" s="32">
        <f>F18*AD18</f>
        <v>23.584</v>
      </c>
      <c r="I18" s="32">
        <f>H18*AD18</f>
        <v>0</v>
      </c>
      <c r="J18" s="32">
        <f>4000</f>
        <v>4000</v>
      </c>
      <c r="K18" s="32">
        <f>J18*AD18</f>
        <v>1.072</v>
      </c>
      <c r="L18" s="32">
        <v>110000</v>
      </c>
      <c r="M18" s="32">
        <f>L18*AD18</f>
        <v>29.48</v>
      </c>
      <c r="O18" s="32">
        <f>N18*AD18</f>
        <v>0</v>
      </c>
      <c r="Q18" s="32">
        <f>P18*AD18</f>
        <v>0</v>
      </c>
      <c r="T18" s="32" t="s">
        <v>137</v>
      </c>
      <c r="AB18" s="60" t="s">
        <v>218</v>
      </c>
      <c r="AC18" s="32">
        <f>B18+D18+F18+H18+J18+L18+N18+P18</f>
        <v>826000</v>
      </c>
      <c r="AD18" s="53">
        <f>(252+16)/1000000</f>
        <v>0.000268</v>
      </c>
      <c r="AE18" s="53">
        <f>AC18*AD18</f>
        <v>221.368</v>
      </c>
      <c r="AG18" s="32">
        <v>21</v>
      </c>
      <c r="AI18" s="32" t="s">
        <v>177</v>
      </c>
      <c r="AJ18" s="32">
        <f>SUM(AA2:AA51)</f>
        <v>0</v>
      </c>
      <c r="AR18" s="54"/>
    </row>
    <row r="19" spans="1:33" ht="14.25">
      <c r="A19" s="56">
        <v>43238</v>
      </c>
      <c r="C19" s="32">
        <f>B19*AD19</f>
        <v>0</v>
      </c>
      <c r="D19" s="32">
        <f>22000</f>
        <v>22000</v>
      </c>
      <c r="E19" s="32">
        <f>D19*AD19</f>
        <v>5.896</v>
      </c>
      <c r="F19" s="32">
        <f>45000+50000</f>
        <v>95000</v>
      </c>
      <c r="G19" s="32">
        <f>F19*AD19</f>
        <v>25.46</v>
      </c>
      <c r="I19" s="32">
        <f>H19*AD19</f>
        <v>0</v>
      </c>
      <c r="K19" s="32">
        <f>J19*AD19</f>
        <v>0</v>
      </c>
      <c r="L19" s="32">
        <v>110000</v>
      </c>
      <c r="M19" s="32">
        <f>L19*AD19</f>
        <v>29.48</v>
      </c>
      <c r="O19" s="32">
        <f>N19*AD19</f>
        <v>0</v>
      </c>
      <c r="Q19" s="32">
        <f>P19*AD19</f>
        <v>0</v>
      </c>
      <c r="T19" s="32" t="s">
        <v>137</v>
      </c>
      <c r="AB19" s="60" t="s">
        <v>218</v>
      </c>
      <c r="AC19" s="32">
        <f>B19+D19+F19+H19+J19+L19+N19+P19</f>
        <v>227000</v>
      </c>
      <c r="AD19" s="53">
        <f>(252+16)/1000000</f>
        <v>0.000268</v>
      </c>
      <c r="AE19" s="53">
        <f>AC19*AD19</f>
        <v>60.836</v>
      </c>
      <c r="AG19" s="32">
        <v>21</v>
      </c>
    </row>
    <row r="20" spans="1:33" ht="14.25">
      <c r="A20" s="56">
        <v>43239</v>
      </c>
      <c r="B20" s="32">
        <v>47000</v>
      </c>
      <c r="C20" s="32">
        <f>B20*AD20</f>
        <v>12.596</v>
      </c>
      <c r="E20" s="32">
        <f>D20*AD20</f>
        <v>0</v>
      </c>
      <c r="G20" s="32">
        <f>F20*AD20</f>
        <v>0</v>
      </c>
      <c r="I20" s="32">
        <f>H20*AD20</f>
        <v>0</v>
      </c>
      <c r="K20" s="32">
        <f>J20*AD20</f>
        <v>0</v>
      </c>
      <c r="M20" s="32">
        <f>L20*AD20</f>
        <v>0</v>
      </c>
      <c r="O20" s="32">
        <f>N20*AD20</f>
        <v>0</v>
      </c>
      <c r="Q20" s="32">
        <f>P20*AD20</f>
        <v>0</v>
      </c>
      <c r="Z20" s="32" t="s">
        <v>137</v>
      </c>
      <c r="AB20" s="60" t="s">
        <v>219</v>
      </c>
      <c r="AC20" s="32">
        <f>B20+D20+F20+H20+J20+L20+N20+P20</f>
        <v>47000</v>
      </c>
      <c r="AD20" s="53">
        <f>(252+16)/1000000</f>
        <v>0.000268</v>
      </c>
      <c r="AE20" s="53">
        <f>AC20*AD20</f>
        <v>12.596</v>
      </c>
      <c r="AG20" s="32">
        <v>21</v>
      </c>
    </row>
    <row r="21" spans="1:33" ht="14.25">
      <c r="A21" s="56">
        <v>43240</v>
      </c>
      <c r="C21" s="32">
        <f>B21*AD21</f>
        <v>0</v>
      </c>
      <c r="D21" s="32">
        <f>46000</f>
        <v>46000</v>
      </c>
      <c r="E21" s="32">
        <f>D21*AD21</f>
        <v>12.328000000000001</v>
      </c>
      <c r="G21" s="32">
        <f>F21*AD21</f>
        <v>0</v>
      </c>
      <c r="I21" s="32">
        <f>H21*AD21</f>
        <v>0</v>
      </c>
      <c r="K21" s="32">
        <f>J21*AD21</f>
        <v>0</v>
      </c>
      <c r="L21" s="32">
        <v>150000</v>
      </c>
      <c r="M21" s="32">
        <f>L21*AD21</f>
        <v>40.2</v>
      </c>
      <c r="O21" s="32">
        <f>N21*AD21</f>
        <v>0</v>
      </c>
      <c r="Q21" s="32">
        <f>P21*AD21</f>
        <v>0</v>
      </c>
      <c r="T21" s="32" t="s">
        <v>137</v>
      </c>
      <c r="AB21" s="60" t="s">
        <v>220</v>
      </c>
      <c r="AC21" s="32">
        <f>B21+D21+F21+H21+J21+L21+N21+P21</f>
        <v>196000</v>
      </c>
      <c r="AD21" s="53">
        <f>(252+16)/1000000</f>
        <v>0.000268</v>
      </c>
      <c r="AE21" s="53">
        <f>AC21*AD21</f>
        <v>52.528</v>
      </c>
      <c r="AG21" s="32">
        <v>21</v>
      </c>
    </row>
    <row r="22" spans="1:33" ht="14.25">
      <c r="A22" s="56">
        <v>43241</v>
      </c>
      <c r="C22" s="32">
        <f>B22*AD22</f>
        <v>0</v>
      </c>
      <c r="D22" s="32">
        <f>96000+10000</f>
        <v>106000</v>
      </c>
      <c r="E22" s="32">
        <f>D22*AD22</f>
        <v>28.408</v>
      </c>
      <c r="F22" s="32">
        <v>50000</v>
      </c>
      <c r="G22" s="32">
        <f>F22*AD22</f>
        <v>13.4</v>
      </c>
      <c r="H22" s="32">
        <v>1400000</v>
      </c>
      <c r="I22" s="32">
        <f>H22*AD22</f>
        <v>375.2</v>
      </c>
      <c r="K22" s="32">
        <f>J22*AD22</f>
        <v>0</v>
      </c>
      <c r="L22" s="32">
        <v>150000</v>
      </c>
      <c r="M22" s="32">
        <f>L22*AD22</f>
        <v>40.2</v>
      </c>
      <c r="O22" s="32">
        <f>N22*AD22</f>
        <v>0</v>
      </c>
      <c r="Q22" s="32">
        <f>P22*AD22</f>
        <v>0</v>
      </c>
      <c r="T22" s="32" t="s">
        <v>137</v>
      </c>
      <c r="AB22" s="60" t="s">
        <v>220</v>
      </c>
      <c r="AC22" s="32">
        <f>B22+D22+F22+H22+J22+L22+N22+P22</f>
        <v>1706000</v>
      </c>
      <c r="AD22" s="53">
        <f>(252+16)/1000000</f>
        <v>0.000268</v>
      </c>
      <c r="AE22" s="53">
        <f>AC22*AD22</f>
        <v>457.208</v>
      </c>
      <c r="AG22" s="32">
        <v>21</v>
      </c>
    </row>
    <row r="23" spans="1:33" ht="14.25">
      <c r="A23" s="56">
        <v>43242</v>
      </c>
      <c r="C23" s="32">
        <f>B23*AD23</f>
        <v>0</v>
      </c>
      <c r="E23" s="32">
        <f>D23*AD23</f>
        <v>0</v>
      </c>
      <c r="G23" s="32">
        <f>F23*AD23</f>
        <v>0</v>
      </c>
      <c r="H23" s="32">
        <f>235000*2+20000*2</f>
        <v>510000</v>
      </c>
      <c r="I23" s="32">
        <f>H23*AD23</f>
        <v>136.68</v>
      </c>
      <c r="K23" s="32">
        <f>J23*AD23</f>
        <v>0</v>
      </c>
      <c r="M23" s="32">
        <f>L23*AD23</f>
        <v>0</v>
      </c>
      <c r="O23" s="32">
        <f>N23*AD23</f>
        <v>0</v>
      </c>
      <c r="Q23" s="32">
        <f>P23*AD23</f>
        <v>0</v>
      </c>
      <c r="Z23" s="32" t="s">
        <v>137</v>
      </c>
      <c r="AB23" s="60" t="s">
        <v>220</v>
      </c>
      <c r="AC23" s="32">
        <f>B23+D23+F23+H23+J23+L23+N23+P23</f>
        <v>510000</v>
      </c>
      <c r="AD23" s="53">
        <f>(252+16)/1000000</f>
        <v>0.000268</v>
      </c>
      <c r="AE23" s="53">
        <f>AC23*AD23</f>
        <v>136.68</v>
      </c>
      <c r="AG23" s="32">
        <v>21</v>
      </c>
    </row>
    <row r="24" spans="1:33" ht="14.25">
      <c r="A24" s="56">
        <v>43243</v>
      </c>
      <c r="C24" s="32">
        <f>B24*AD24</f>
        <v>0</v>
      </c>
      <c r="D24" s="32">
        <v>82000</v>
      </c>
      <c r="E24" s="32">
        <f>D24*AD24</f>
        <v>21.976</v>
      </c>
      <c r="G24" s="32">
        <f>F24*AD24</f>
        <v>0</v>
      </c>
      <c r="H24" s="32">
        <v>20000</v>
      </c>
      <c r="I24" s="32">
        <f>H24*AD24</f>
        <v>5.36</v>
      </c>
      <c r="K24" s="32">
        <f>J24*AD24</f>
        <v>0</v>
      </c>
      <c r="L24" s="32">
        <v>140000</v>
      </c>
      <c r="M24" s="32">
        <f>L24*AD24</f>
        <v>37.52</v>
      </c>
      <c r="O24" s="32">
        <f>N24*AD24</f>
        <v>0</v>
      </c>
      <c r="Q24" s="32">
        <f>P24*AD24</f>
        <v>0</v>
      </c>
      <c r="T24" s="32" t="s">
        <v>137</v>
      </c>
      <c r="AB24" s="60" t="s">
        <v>220</v>
      </c>
      <c r="AC24" s="32">
        <f>B24+D24+F24+H24+J24+L24+N24+P24</f>
        <v>242000</v>
      </c>
      <c r="AD24" s="53">
        <f>(252+16)/1000000</f>
        <v>0.000268</v>
      </c>
      <c r="AE24" s="53">
        <f>AC24*AD24</f>
        <v>64.85600000000001</v>
      </c>
      <c r="AG24" s="32">
        <v>21</v>
      </c>
    </row>
    <row r="25" spans="1:33" ht="14.25">
      <c r="A25" s="56">
        <v>43244</v>
      </c>
      <c r="B25" s="32">
        <f>60000*2+30000*2+180000*2</f>
        <v>540000</v>
      </c>
      <c r="C25" s="32">
        <f>B25*AD25</f>
        <v>144.72</v>
      </c>
      <c r="D25" s="32">
        <v>8000</v>
      </c>
      <c r="E25" s="32">
        <f>D25*AD25</f>
        <v>2.144</v>
      </c>
      <c r="F25" s="32">
        <v>24000</v>
      </c>
      <c r="G25" s="32">
        <f>F25*AD25</f>
        <v>6.432</v>
      </c>
      <c r="I25" s="32">
        <f>H25*AD25</f>
        <v>0</v>
      </c>
      <c r="K25" s="32">
        <f>J25*AD25</f>
        <v>0</v>
      </c>
      <c r="M25" s="32">
        <f>L25*AD25</f>
        <v>0</v>
      </c>
      <c r="O25" s="32">
        <f>N25*AD25</f>
        <v>0</v>
      </c>
      <c r="Q25" s="32">
        <f>P25*AD25</f>
        <v>0</v>
      </c>
      <c r="Z25" s="32" t="s">
        <v>137</v>
      </c>
      <c r="AB25" s="60" t="s">
        <v>221</v>
      </c>
      <c r="AC25" s="32">
        <f>B25+D25+F25+H25+J25+L25+N25+P25</f>
        <v>572000</v>
      </c>
      <c r="AD25" s="53">
        <f>(252+16)/1000000</f>
        <v>0.000268</v>
      </c>
      <c r="AE25" s="53">
        <f>AC25*AD25</f>
        <v>153.296</v>
      </c>
      <c r="AG25" s="32">
        <v>21</v>
      </c>
    </row>
    <row r="26" spans="1:33" ht="14.25">
      <c r="A26" s="56">
        <v>43245</v>
      </c>
      <c r="B26" s="32">
        <v>200000</v>
      </c>
      <c r="C26" s="32">
        <f>B26*AD26</f>
        <v>53.6</v>
      </c>
      <c r="D26" s="32">
        <f>10000+5000+5000+5000</f>
        <v>25000</v>
      </c>
      <c r="E26" s="32">
        <f>D26*AD26</f>
        <v>6.7</v>
      </c>
      <c r="F26" s="32">
        <f>70000+62000</f>
        <v>132000</v>
      </c>
      <c r="G26" s="32">
        <f>F26*AD26</f>
        <v>35.376</v>
      </c>
      <c r="I26" s="32">
        <f>H26*AD26</f>
        <v>0</v>
      </c>
      <c r="K26" s="32">
        <f>J26*AD26</f>
        <v>0</v>
      </c>
      <c r="L26" s="32">
        <v>100000</v>
      </c>
      <c r="M26" s="32">
        <f>L26*AD26</f>
        <v>26.8</v>
      </c>
      <c r="O26" s="32">
        <f>N26*AD26</f>
        <v>0</v>
      </c>
      <c r="Q26" s="32">
        <f>P26*AD26</f>
        <v>0</v>
      </c>
      <c r="T26" s="32" t="s">
        <v>137</v>
      </c>
      <c r="AB26" s="60" t="s">
        <v>222</v>
      </c>
      <c r="AC26" s="32">
        <f>B26+D26+F26+H26+J26+L26+N26+P26</f>
        <v>457000</v>
      </c>
      <c r="AD26" s="53">
        <f>(252+16)/1000000</f>
        <v>0.000268</v>
      </c>
      <c r="AE26" s="53">
        <f>AC26*AD26</f>
        <v>122.476</v>
      </c>
      <c r="AG26" s="32">
        <v>21</v>
      </c>
    </row>
    <row r="27" spans="1:33" ht="14.25">
      <c r="A27" s="56">
        <v>43246</v>
      </c>
      <c r="C27" s="32">
        <f>B27*AD27</f>
        <v>0</v>
      </c>
      <c r="D27" s="32">
        <f>35000+10000</f>
        <v>45000</v>
      </c>
      <c r="E27" s="32">
        <f>D27*AD27</f>
        <v>12.06</v>
      </c>
      <c r="F27" s="32">
        <v>58000</v>
      </c>
      <c r="G27" s="32">
        <f>F27*AD27</f>
        <v>15.544</v>
      </c>
      <c r="I27" s="32">
        <f>H27*AD27</f>
        <v>0</v>
      </c>
      <c r="K27" s="32">
        <f>J27*AD27</f>
        <v>0</v>
      </c>
      <c r="L27" s="32">
        <v>100000</v>
      </c>
      <c r="M27" s="32">
        <f>L27*AD27</f>
        <v>26.8</v>
      </c>
      <c r="O27" s="32">
        <f>N27*AD27</f>
        <v>0</v>
      </c>
      <c r="Q27" s="32">
        <f>P27*AD27</f>
        <v>0</v>
      </c>
      <c r="T27" s="32" t="s">
        <v>137</v>
      </c>
      <c r="AB27" s="32" t="s">
        <v>223</v>
      </c>
      <c r="AC27" s="32">
        <f>B27+D27+F27+H27+J27+L27+N27+P27</f>
        <v>203000</v>
      </c>
      <c r="AD27" s="53">
        <f>(252+16)/1000000</f>
        <v>0.000268</v>
      </c>
      <c r="AE27" s="53">
        <f>AC27*AD27</f>
        <v>54.404</v>
      </c>
      <c r="AG27" s="32">
        <v>21</v>
      </c>
    </row>
    <row r="28" spans="1:33" ht="14.25">
      <c r="A28" s="56">
        <v>43247</v>
      </c>
      <c r="C28" s="32">
        <f>B28*AD28</f>
        <v>0</v>
      </c>
      <c r="D28" s="32">
        <f>27000+5000</f>
        <v>32000</v>
      </c>
      <c r="E28" s="32">
        <f>D28*AD28</f>
        <v>8.576</v>
      </c>
      <c r="F28" s="32">
        <v>110000</v>
      </c>
      <c r="G28" s="32">
        <f>F28*AD28</f>
        <v>29.48</v>
      </c>
      <c r="I28" s="32">
        <f>H28*AD28</f>
        <v>0</v>
      </c>
      <c r="K28" s="32">
        <f>J28*AD28</f>
        <v>0</v>
      </c>
      <c r="L28" s="32">
        <v>100000</v>
      </c>
      <c r="M28" s="32">
        <f>L28*AD28</f>
        <v>26.8</v>
      </c>
      <c r="O28" s="32">
        <f>N28*AD28</f>
        <v>0</v>
      </c>
      <c r="Q28" s="32">
        <f>P28*AD28</f>
        <v>0</v>
      </c>
      <c r="T28" s="32" t="s">
        <v>137</v>
      </c>
      <c r="AB28" s="32" t="s">
        <v>223</v>
      </c>
      <c r="AC28" s="32">
        <f>B28+D28+F28+H28+J28+L28+N28+P28</f>
        <v>242000</v>
      </c>
      <c r="AD28" s="53">
        <f>(252+16)/1000000</f>
        <v>0.000268</v>
      </c>
      <c r="AE28" s="53">
        <f>AC28*AD28</f>
        <v>64.85600000000001</v>
      </c>
      <c r="AG28" s="32">
        <v>21</v>
      </c>
    </row>
    <row r="29" spans="1:33" ht="12.75">
      <c r="A29" s="56">
        <v>43248</v>
      </c>
      <c r="C29" s="32">
        <f>B29*AD29</f>
        <v>0</v>
      </c>
      <c r="D29" s="32">
        <f>35000+15000+12000</f>
        <v>62000</v>
      </c>
      <c r="E29" s="32">
        <f>D29*AD29</f>
        <v>16.616</v>
      </c>
      <c r="F29" s="32">
        <v>60000</v>
      </c>
      <c r="G29" s="32">
        <f>F29*AD29</f>
        <v>16.080000000000002</v>
      </c>
      <c r="I29" s="32">
        <f>H29*AD29</f>
        <v>0</v>
      </c>
      <c r="K29" s="32">
        <f>J29*AD29</f>
        <v>0</v>
      </c>
      <c r="L29" s="32">
        <v>100000</v>
      </c>
      <c r="M29" s="32">
        <f>L29*AD29</f>
        <v>26.8</v>
      </c>
      <c r="O29" s="32">
        <f>N29*AD29</f>
        <v>0</v>
      </c>
      <c r="Q29" s="32">
        <f>P29*AD29</f>
        <v>0</v>
      </c>
      <c r="T29" s="32" t="s">
        <v>137</v>
      </c>
      <c r="AB29" s="32" t="s">
        <v>223</v>
      </c>
      <c r="AC29" s="32">
        <f>B29+D29+F29+H29+J29+L29+N29+P29</f>
        <v>222000</v>
      </c>
      <c r="AD29" s="53">
        <f>(252+16)/1000000</f>
        <v>0.000268</v>
      </c>
      <c r="AE29" s="53">
        <f>AC29*AD29</f>
        <v>59.496</v>
      </c>
      <c r="AG29" s="32">
        <v>21</v>
      </c>
    </row>
    <row r="30" spans="1:33" ht="12.75">
      <c r="A30" s="56">
        <v>43249</v>
      </c>
      <c r="C30" s="32">
        <f>B30*AD30</f>
        <v>0</v>
      </c>
      <c r="D30" s="32">
        <f>25000+15000</f>
        <v>40000</v>
      </c>
      <c r="E30" s="32">
        <f>D30*AD30</f>
        <v>10.72</v>
      </c>
      <c r="F30" s="32">
        <v>100000</v>
      </c>
      <c r="G30" s="32">
        <f>F30*AD30</f>
        <v>26.8</v>
      </c>
      <c r="I30" s="32">
        <f>H30*AD30</f>
        <v>0</v>
      </c>
      <c r="K30" s="32">
        <f>J30*AD30</f>
        <v>0</v>
      </c>
      <c r="L30" s="32">
        <v>100000</v>
      </c>
      <c r="M30" s="32">
        <f>L30*AD30</f>
        <v>26.8</v>
      </c>
      <c r="O30" s="32">
        <f>N30*AD30</f>
        <v>0</v>
      </c>
      <c r="Q30" s="32">
        <f>P30*AD30</f>
        <v>0</v>
      </c>
      <c r="T30" s="32" t="s">
        <v>137</v>
      </c>
      <c r="AB30" s="32" t="s">
        <v>223</v>
      </c>
      <c r="AC30" s="32">
        <f>B30+D30+F30+H30+J30+L30+N30+P30</f>
        <v>240000</v>
      </c>
      <c r="AD30" s="53">
        <f>(252+16)/1000000</f>
        <v>0.000268</v>
      </c>
      <c r="AE30" s="53">
        <f>AC30*AD30</f>
        <v>64.32000000000001</v>
      </c>
      <c r="AG30" s="32">
        <v>21</v>
      </c>
    </row>
    <row r="31" spans="1:33" ht="12.75">
      <c r="A31" s="56">
        <v>43250</v>
      </c>
      <c r="C31" s="32">
        <f>B31*AD31</f>
        <v>0</v>
      </c>
      <c r="D31" s="32">
        <f>50000</f>
        <v>50000</v>
      </c>
      <c r="E31" s="32">
        <f>D31*AD31</f>
        <v>13.4</v>
      </c>
      <c r="F31" s="32">
        <v>80000</v>
      </c>
      <c r="G31" s="32">
        <f>F31*AD31</f>
        <v>21.44</v>
      </c>
      <c r="I31" s="32">
        <f>H31*AD31</f>
        <v>0</v>
      </c>
      <c r="K31" s="32">
        <f>J31*AD31</f>
        <v>0</v>
      </c>
      <c r="L31" s="32">
        <v>100000</v>
      </c>
      <c r="M31" s="32">
        <f>L31*AD31</f>
        <v>26.8</v>
      </c>
      <c r="O31" s="32">
        <f>N31*AD31</f>
        <v>0</v>
      </c>
      <c r="Q31" s="32">
        <f>P31*AD31</f>
        <v>0</v>
      </c>
      <c r="T31" s="32" t="s">
        <v>137</v>
      </c>
      <c r="AB31" s="32" t="s">
        <v>223</v>
      </c>
      <c r="AC31" s="32">
        <f>B31+D31+F31+H31+J31+L31+N31+P31</f>
        <v>230000</v>
      </c>
      <c r="AD31" s="53">
        <f>(252+16)/1000000</f>
        <v>0.000268</v>
      </c>
      <c r="AE31" s="53">
        <f>AC31*AD31</f>
        <v>61.64</v>
      </c>
      <c r="AG31" s="32">
        <v>21</v>
      </c>
    </row>
    <row r="32" spans="1:33" ht="12.75">
      <c r="A32" s="56">
        <v>43251</v>
      </c>
      <c r="C32" s="32">
        <f>B32*AD32</f>
        <v>0</v>
      </c>
      <c r="D32" s="32">
        <f>30000+20000</f>
        <v>50000</v>
      </c>
      <c r="E32" s="32">
        <f>D32*AD32</f>
        <v>13.4</v>
      </c>
      <c r="F32" s="32">
        <v>130000</v>
      </c>
      <c r="G32" s="32">
        <f>F32*AD32</f>
        <v>34.84</v>
      </c>
      <c r="I32" s="32">
        <f>H32*AD32</f>
        <v>0</v>
      </c>
      <c r="K32" s="32">
        <f>J32*AD32</f>
        <v>0</v>
      </c>
      <c r="L32" s="32">
        <v>100000</v>
      </c>
      <c r="M32" s="32">
        <f>L32*AD32</f>
        <v>26.8</v>
      </c>
      <c r="O32" s="32">
        <f>N32*AD32</f>
        <v>0</v>
      </c>
      <c r="Q32" s="32">
        <f>P32*AD32</f>
        <v>0</v>
      </c>
      <c r="T32" s="32" t="s">
        <v>137</v>
      </c>
      <c r="AB32" s="32" t="s">
        <v>223</v>
      </c>
      <c r="AC32" s="32">
        <f>B32+D32+F32+H32+J32+L32+N32+P32</f>
        <v>280000</v>
      </c>
      <c r="AD32" s="53">
        <f>(252+16)/1000000</f>
        <v>0.000268</v>
      </c>
      <c r="AE32" s="53">
        <f>AC32*AD32</f>
        <v>75.04</v>
      </c>
      <c r="AG32" s="32">
        <v>21</v>
      </c>
    </row>
    <row r="33" spans="1:33" ht="12.75">
      <c r="A33" s="56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f>(252+16)/1000000</f>
        <v>0.000268</v>
      </c>
      <c r="AE33" s="53">
        <f>AC33*AD33</f>
        <v>0</v>
      </c>
      <c r="AG33" s="32">
        <v>21</v>
      </c>
    </row>
    <row r="34" spans="1:33" ht="12.7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(252+16)/1000000</f>
        <v>0.000268</v>
      </c>
      <c r="AE34" s="53">
        <f>AC34*AD34</f>
        <v>0</v>
      </c>
      <c r="AG34" s="32">
        <v>21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(252+16)/1000000</f>
        <v>0.000268</v>
      </c>
      <c r="AE35" s="53">
        <f>AC35*AD35</f>
        <v>0</v>
      </c>
      <c r="AG35" s="32">
        <v>21</v>
      </c>
    </row>
    <row r="36" spans="3:33" ht="12.7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32">
        <v>0.07063000000000001</v>
      </c>
      <c r="AE36" s="53">
        <f>AC36*AD36</f>
        <v>0</v>
      </c>
      <c r="AG36" s="32">
        <v>21</v>
      </c>
    </row>
    <row r="37" spans="3:31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37"/>
  <sheetViews>
    <sheetView zoomScale="95" zoomScaleNormal="95" workbookViewId="0" topLeftCell="T10">
      <selection activeCell="AG32" sqref="AG32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2.7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2.75">
      <c r="A2" s="56">
        <v>43252</v>
      </c>
      <c r="C2" s="32">
        <f>B2*AD2</f>
        <v>0</v>
      </c>
      <c r="D2" s="32">
        <f>23000+20000+30000</f>
        <v>73000</v>
      </c>
      <c r="E2" s="32">
        <f>D2*AD2</f>
        <v>19.564</v>
      </c>
      <c r="F2" s="32">
        <v>67000</v>
      </c>
      <c r="G2" s="32">
        <f>F2*AD2</f>
        <v>17.956</v>
      </c>
      <c r="I2" s="32">
        <f>H2*AD2</f>
        <v>0</v>
      </c>
      <c r="K2" s="32">
        <f>J2*AD2</f>
        <v>0</v>
      </c>
      <c r="L2" s="32">
        <v>100000</v>
      </c>
      <c r="M2" s="32">
        <f>L2*AD2</f>
        <v>26.8</v>
      </c>
      <c r="O2" s="32">
        <f>N2*AD2</f>
        <v>0</v>
      </c>
      <c r="Q2" s="32">
        <f>P2*AD2</f>
        <v>0</v>
      </c>
      <c r="T2" s="32" t="s">
        <v>137</v>
      </c>
      <c r="AB2" s="32" t="s">
        <v>223</v>
      </c>
      <c r="AC2" s="32">
        <f>B2+D2+F2+H2+J2+L2+N2+P2</f>
        <v>240000</v>
      </c>
      <c r="AD2" s="53">
        <f>(252+16)/1000000</f>
        <v>0.000268</v>
      </c>
      <c r="AE2" s="53">
        <f>AC2*AD2</f>
        <v>64.32000000000001</v>
      </c>
      <c r="AG2" s="32">
        <v>21</v>
      </c>
      <c r="AI2" s="32" t="s">
        <v>139</v>
      </c>
      <c r="AJ2" s="55">
        <f>SUM($AE$2:$AE$996)</f>
        <v>3583.347999999999</v>
      </c>
      <c r="AL2" s="32" t="s">
        <v>140</v>
      </c>
      <c r="AM2" s="57">
        <f>$AJ$2/$AJ$5</f>
        <v>119.4449333333333</v>
      </c>
      <c r="AO2" s="32" t="s">
        <v>141</v>
      </c>
      <c r="AP2" s="32">
        <f>COUNTBLANK(L2:L42)-COUNTBLANK(A2:A42)</f>
        <v>1</v>
      </c>
      <c r="AQ2" s="58"/>
      <c r="AR2" s="58"/>
      <c r="AS2" s="58"/>
      <c r="AT2" s="58"/>
      <c r="AU2" s="58" t="s">
        <v>183</v>
      </c>
      <c r="AV2" s="58">
        <f>SUMIF($AG$2:$AG$46,"=19",$AE$2:$AE$46)</f>
        <v>0</v>
      </c>
      <c r="AW2" s="58"/>
      <c r="AX2" s="58" t="s">
        <v>143</v>
      </c>
      <c r="AY2" s="58">
        <f>SUMIF($AG$2:$AG$46,"=18",$AE$2:$AE$46)</f>
        <v>0</v>
      </c>
      <c r="AZ2" s="58"/>
      <c r="BB2" s="35"/>
      <c r="BC2" s="35"/>
    </row>
    <row r="3" spans="1:55" ht="12.75">
      <c r="A3" s="56">
        <v>43253</v>
      </c>
      <c r="C3" s="32">
        <f>B3*AD3</f>
        <v>0</v>
      </c>
      <c r="D3" s="32">
        <f>80000+25000+15000</f>
        <v>120000</v>
      </c>
      <c r="E3" s="32">
        <f>D3*AD3</f>
        <v>32.160000000000004</v>
      </c>
      <c r="F3" s="32">
        <v>130000</v>
      </c>
      <c r="G3" s="32">
        <f>F3*AD3</f>
        <v>34.84</v>
      </c>
      <c r="I3" s="32">
        <f>H3*AD3</f>
        <v>0</v>
      </c>
      <c r="K3" s="32">
        <f>J3*AD3</f>
        <v>0</v>
      </c>
      <c r="L3" s="32">
        <v>100000</v>
      </c>
      <c r="M3" s="32">
        <f>L3*AD3</f>
        <v>26.8</v>
      </c>
      <c r="O3" s="32">
        <f>N3*AD3</f>
        <v>0</v>
      </c>
      <c r="Q3" s="32">
        <f>P3*AD3</f>
        <v>0</v>
      </c>
      <c r="T3" s="32" t="s">
        <v>137</v>
      </c>
      <c r="AB3" s="32" t="s">
        <v>223</v>
      </c>
      <c r="AC3" s="32">
        <f>B3+D3+F3+H3+J3+L3+N3+P3</f>
        <v>350000</v>
      </c>
      <c r="AD3" s="53">
        <f>(252+16)/1000000</f>
        <v>0.000268</v>
      </c>
      <c r="AE3" s="53">
        <f>AC3*AD3</f>
        <v>93.8</v>
      </c>
      <c r="AG3" s="32">
        <v>21</v>
      </c>
      <c r="AI3" s="59"/>
      <c r="AL3" s="59"/>
      <c r="AM3" s="57"/>
      <c r="AO3" s="32" t="s">
        <v>145</v>
      </c>
      <c r="AP3" s="32">
        <f>COUNT(L2:L38)</f>
        <v>29</v>
      </c>
      <c r="AR3" s="58"/>
      <c r="AS3" s="58"/>
      <c r="AT3" s="58"/>
      <c r="AU3" s="58" t="s">
        <v>184</v>
      </c>
      <c r="AV3" s="58">
        <f>_xlfn.COUNTIFS($A$2:$A$46,"&lt;&gt;''",$AG$2:$AG$46,"=19")</f>
        <v>0</v>
      </c>
      <c r="AW3" s="58"/>
      <c r="AX3" s="58" t="s">
        <v>147</v>
      </c>
      <c r="AY3" s="58">
        <f>_xlfn.COUNTIFS($A$2:$A$46,"&lt;&gt;''",$AG$2:$AG$46,"=18")</f>
        <v>0</v>
      </c>
      <c r="AZ3" s="58"/>
      <c r="BB3" s="35"/>
      <c r="BC3" s="35"/>
    </row>
    <row r="4" spans="1:55" ht="12.75">
      <c r="A4" s="56">
        <v>43254</v>
      </c>
      <c r="C4" s="32">
        <f>B4*AD4</f>
        <v>0</v>
      </c>
      <c r="D4" s="32">
        <f>45000+15000</f>
        <v>60000</v>
      </c>
      <c r="E4" s="32">
        <f>D4*AD4</f>
        <v>16.080000000000002</v>
      </c>
      <c r="F4" s="32">
        <v>62000</v>
      </c>
      <c r="G4" s="32">
        <f>F4*AD4</f>
        <v>16.616</v>
      </c>
      <c r="I4" s="32">
        <f>H4*AD4</f>
        <v>0</v>
      </c>
      <c r="K4" s="32">
        <f>J4*AD4</f>
        <v>0</v>
      </c>
      <c r="L4" s="32">
        <v>100000</v>
      </c>
      <c r="M4" s="32">
        <f>L4*AD4</f>
        <v>26.8</v>
      </c>
      <c r="O4" s="32">
        <f>N4*AD4</f>
        <v>0</v>
      </c>
      <c r="Q4" s="32">
        <f>P4*AD4</f>
        <v>0</v>
      </c>
      <c r="T4" s="32" t="s">
        <v>137</v>
      </c>
      <c r="AB4" s="32" t="s">
        <v>223</v>
      </c>
      <c r="AC4" s="32">
        <f>B4+D4+F4+H4+J4+L4+N4+P4</f>
        <v>222000</v>
      </c>
      <c r="AD4" s="53">
        <f>(252+16)/1000000</f>
        <v>0.000268</v>
      </c>
      <c r="AE4" s="53">
        <f>AC4*AD4</f>
        <v>59.496</v>
      </c>
      <c r="AG4" s="32">
        <v>21</v>
      </c>
      <c r="AO4" s="32" t="s">
        <v>149</v>
      </c>
      <c r="AP4" s="32">
        <f>COUNTA(W2:W51)</f>
        <v>0</v>
      </c>
      <c r="AR4" s="58"/>
      <c r="AS4" s="58"/>
      <c r="AT4" s="58"/>
      <c r="AU4" s="58" t="s">
        <v>185</v>
      </c>
      <c r="AV4" s="58" t="e">
        <f>AV2/AV3</f>
        <v>#DIV/0!</v>
      </c>
      <c r="AW4" s="58"/>
      <c r="AX4" s="58" t="s">
        <v>151</v>
      </c>
      <c r="AY4" s="58" t="e">
        <f>AY2/AY3</f>
        <v>#DIV/0!</v>
      </c>
      <c r="AZ4" s="58"/>
      <c r="BB4" s="35"/>
      <c r="BC4" s="35"/>
    </row>
    <row r="5" spans="1:42" ht="12.75">
      <c r="A5" s="56">
        <v>43255</v>
      </c>
      <c r="C5" s="32">
        <f>B5*AD5</f>
        <v>0</v>
      </c>
      <c r="D5" s="4">
        <f>25000+12000+10000+20000</f>
        <v>67000</v>
      </c>
      <c r="E5" s="32">
        <f>D5*AD5</f>
        <v>17.956</v>
      </c>
      <c r="F5" s="32">
        <f>100000</f>
        <v>100000</v>
      </c>
      <c r="G5" s="32">
        <f>F5*AD5</f>
        <v>26.8</v>
      </c>
      <c r="I5" s="32">
        <f>H5*AD5</f>
        <v>0</v>
      </c>
      <c r="K5" s="32">
        <f>J5*AD5</f>
        <v>0</v>
      </c>
      <c r="L5" s="32">
        <v>100000</v>
      </c>
      <c r="M5" s="32">
        <f>L5*AD5</f>
        <v>26.8</v>
      </c>
      <c r="O5" s="32">
        <f>N5*AD5</f>
        <v>0</v>
      </c>
      <c r="Q5" s="32">
        <f>P5*AD5</f>
        <v>0</v>
      </c>
      <c r="T5" s="32" t="s">
        <v>137</v>
      </c>
      <c r="AB5" s="32" t="s">
        <v>223</v>
      </c>
      <c r="AC5" s="32">
        <f>B5+D5+F5+H5+J5+L5+N5+P5</f>
        <v>267000</v>
      </c>
      <c r="AD5" s="53">
        <f>(252+16)/1000000</f>
        <v>0.000268</v>
      </c>
      <c r="AE5" s="53">
        <f>AC5*AD5</f>
        <v>71.556</v>
      </c>
      <c r="AG5" s="32">
        <v>21</v>
      </c>
      <c r="AI5" s="32" t="s">
        <v>153</v>
      </c>
      <c r="AJ5" s="32">
        <f>COUNTA(A2:A351)</f>
        <v>30</v>
      </c>
      <c r="AO5" s="32" t="s">
        <v>154</v>
      </c>
      <c r="AP5" s="32">
        <f>COUNTA(R2:R51)</f>
        <v>0</v>
      </c>
    </row>
    <row r="6" spans="1:42" ht="14.25">
      <c r="A6" s="56">
        <v>43256</v>
      </c>
      <c r="C6" s="32">
        <f>B6*AD6</f>
        <v>0</v>
      </c>
      <c r="D6" s="4">
        <f>30000+15000</f>
        <v>45000</v>
      </c>
      <c r="E6" s="32">
        <f>D6*AD6</f>
        <v>12.06</v>
      </c>
      <c r="F6" s="32">
        <v>60000</v>
      </c>
      <c r="G6" s="32">
        <f>F6*AD6</f>
        <v>16.080000000000002</v>
      </c>
      <c r="I6" s="32">
        <f>H6*AD6</f>
        <v>0</v>
      </c>
      <c r="K6" s="32">
        <f>J6*AD6</f>
        <v>0</v>
      </c>
      <c r="L6" s="32">
        <v>100000</v>
      </c>
      <c r="M6" s="32">
        <f>L6*AD6</f>
        <v>26.8</v>
      </c>
      <c r="O6" s="32">
        <f>N6*AD6</f>
        <v>0</v>
      </c>
      <c r="Q6" s="32">
        <f>P6*AD6</f>
        <v>0</v>
      </c>
      <c r="T6" s="32" t="s">
        <v>137</v>
      </c>
      <c r="AB6" s="32" t="s">
        <v>223</v>
      </c>
      <c r="AC6" s="32">
        <f>B6+D6+F6+H6+J6+L6+N6+P6</f>
        <v>205000</v>
      </c>
      <c r="AD6" s="53">
        <f>(252+16)/1000000</f>
        <v>0.000268</v>
      </c>
      <c r="AE6" s="53">
        <f>AC6*AD6</f>
        <v>54.940000000000005</v>
      </c>
      <c r="AG6" s="32">
        <v>21</v>
      </c>
      <c r="AI6" s="59"/>
      <c r="AO6" s="32" t="s">
        <v>156</v>
      </c>
      <c r="AP6" s="32">
        <f>COUNTA(T2:T51)</f>
        <v>29</v>
      </c>
    </row>
    <row r="7" spans="1:42" ht="14.25">
      <c r="A7" s="56">
        <v>43257</v>
      </c>
      <c r="C7" s="32">
        <f>B7*AD7</f>
        <v>0</v>
      </c>
      <c r="D7" s="32">
        <f>35000</f>
        <v>35000</v>
      </c>
      <c r="E7" s="32">
        <f>D7*AD7</f>
        <v>9.38</v>
      </c>
      <c r="F7" s="32">
        <v>60000</v>
      </c>
      <c r="G7" s="32">
        <f>F7*AD7</f>
        <v>16.080000000000002</v>
      </c>
      <c r="I7" s="32">
        <f>H7*AD7</f>
        <v>0</v>
      </c>
      <c r="K7" s="32">
        <f>J7*AD7</f>
        <v>0</v>
      </c>
      <c r="L7" s="32">
        <v>100000</v>
      </c>
      <c r="M7" s="32">
        <f>L7*AD7</f>
        <v>26.8</v>
      </c>
      <c r="O7" s="32">
        <f>N7*AD7</f>
        <v>0</v>
      </c>
      <c r="Q7" s="32">
        <f>P7*AD7</f>
        <v>0</v>
      </c>
      <c r="T7" s="32" t="s">
        <v>137</v>
      </c>
      <c r="AB7" s="32" t="s">
        <v>223</v>
      </c>
      <c r="AC7" s="32">
        <f>B7+D7+F7+H7+J7+L7+N7+P7</f>
        <v>195000</v>
      </c>
      <c r="AD7" s="53">
        <f>(252+16)/1000000</f>
        <v>0.000268</v>
      </c>
      <c r="AE7" s="53">
        <f>AC7*AD7</f>
        <v>52.260000000000005</v>
      </c>
      <c r="AG7" s="32">
        <v>21</v>
      </c>
      <c r="AL7" s="32" t="s">
        <v>158</v>
      </c>
      <c r="AO7" s="32" t="s">
        <v>126</v>
      </c>
      <c r="AP7" s="32">
        <f>COUNTA(U2:U51)</f>
        <v>0</v>
      </c>
    </row>
    <row r="8" spans="1:42" ht="14.25">
      <c r="A8" s="56">
        <v>43258</v>
      </c>
      <c r="C8" s="32">
        <f>B8*AD8</f>
        <v>0</v>
      </c>
      <c r="D8" s="32">
        <f>28000+30000+10000</f>
        <v>68000</v>
      </c>
      <c r="E8" s="32">
        <f>D8*AD8</f>
        <v>18.224</v>
      </c>
      <c r="F8" s="32">
        <v>60000</v>
      </c>
      <c r="G8" s="32">
        <f>F8*AD8</f>
        <v>16.080000000000002</v>
      </c>
      <c r="I8" s="32">
        <f>H8*AD8</f>
        <v>0</v>
      </c>
      <c r="K8" s="32">
        <f>J8*AD8</f>
        <v>0</v>
      </c>
      <c r="L8" s="32">
        <v>100000</v>
      </c>
      <c r="M8" s="32">
        <f>L8*AD8</f>
        <v>26.8</v>
      </c>
      <c r="O8" s="32">
        <f>N8*AD8</f>
        <v>0</v>
      </c>
      <c r="Q8" s="32">
        <f>P8*AD8</f>
        <v>0</v>
      </c>
      <c r="T8" s="32" t="s">
        <v>137</v>
      </c>
      <c r="AB8" s="32" t="s">
        <v>223</v>
      </c>
      <c r="AC8" s="32">
        <f>B8+D8+F8+H8+J8+L8+N8+P8</f>
        <v>228000</v>
      </c>
      <c r="AD8" s="53">
        <f>(252+16)/1000000</f>
        <v>0.000268</v>
      </c>
      <c r="AE8" s="53">
        <f>AC8*AD8</f>
        <v>61.104</v>
      </c>
      <c r="AG8" s="32">
        <v>21</v>
      </c>
      <c r="AI8" s="32" t="s">
        <v>160</v>
      </c>
      <c r="AJ8" s="55">
        <f>SUM(M2:M996)</f>
        <v>807.0099999999995</v>
      </c>
      <c r="AL8" s="32" t="s">
        <v>119</v>
      </c>
      <c r="AM8" s="55">
        <f>AJ8/$AJ$5</f>
        <v>26.900333333333318</v>
      </c>
      <c r="AO8" s="32" t="s">
        <v>161</v>
      </c>
      <c r="AP8" s="32">
        <f>COUNTA(S2:S51)</f>
        <v>0</v>
      </c>
    </row>
    <row r="9" spans="1:42" ht="14.25">
      <c r="A9" s="56">
        <v>43259</v>
      </c>
      <c r="B9" s="1">
        <f>250000*2</f>
        <v>500000</v>
      </c>
      <c r="C9" s="32">
        <f>B9*AD9</f>
        <v>134</v>
      </c>
      <c r="D9" s="32">
        <f>25000+15000</f>
        <v>40000</v>
      </c>
      <c r="E9" s="32">
        <f>D9*AD9</f>
        <v>10.72</v>
      </c>
      <c r="F9" s="32">
        <v>68000</v>
      </c>
      <c r="G9" s="32">
        <f>F9*AD9</f>
        <v>18.224</v>
      </c>
      <c r="I9" s="32">
        <f>H9*AD9</f>
        <v>0</v>
      </c>
      <c r="K9" s="32">
        <f>J9*AD9</f>
        <v>0</v>
      </c>
      <c r="L9" s="32">
        <v>100000</v>
      </c>
      <c r="M9" s="32">
        <f>L9*AD9</f>
        <v>26.8</v>
      </c>
      <c r="O9" s="32">
        <f>N9*AD9</f>
        <v>0</v>
      </c>
      <c r="Q9" s="32">
        <f>P9*AD9</f>
        <v>0</v>
      </c>
      <c r="T9" s="32" t="s">
        <v>137</v>
      </c>
      <c r="AB9" s="32" t="s">
        <v>223</v>
      </c>
      <c r="AC9" s="32">
        <f>B9+D9+F9+H9+J9+L9+N9+P9</f>
        <v>708000</v>
      </c>
      <c r="AD9" s="53">
        <f>(252+16)/1000000</f>
        <v>0.000268</v>
      </c>
      <c r="AE9" s="53">
        <f>AC9*AD9</f>
        <v>189.744</v>
      </c>
      <c r="AG9" s="32">
        <v>21</v>
      </c>
      <c r="AI9" s="32" t="s">
        <v>163</v>
      </c>
      <c r="AJ9" s="55">
        <f>SUM(C2:C996)</f>
        <v>1122.0480000000002</v>
      </c>
      <c r="AL9" s="32" t="s">
        <v>109</v>
      </c>
      <c r="AM9" s="55">
        <f>AJ9/$AJ$5</f>
        <v>37.40160000000001</v>
      </c>
      <c r="AO9" s="32" t="s">
        <v>127</v>
      </c>
      <c r="AP9" s="32">
        <f>COUNTA(V2:V52)</f>
        <v>0</v>
      </c>
    </row>
    <row r="10" spans="1:42" ht="14.25">
      <c r="A10" s="56">
        <v>43260</v>
      </c>
      <c r="C10" s="32">
        <f>B10*AD10</f>
        <v>0</v>
      </c>
      <c r="D10" s="32">
        <f>15000+25000</f>
        <v>40000</v>
      </c>
      <c r="E10" s="32">
        <f>D10*AD10</f>
        <v>10.72</v>
      </c>
      <c r="F10" s="32">
        <v>60000</v>
      </c>
      <c r="G10" s="32">
        <f>F10*AD10</f>
        <v>16.080000000000002</v>
      </c>
      <c r="I10" s="32">
        <f>H10*AD10</f>
        <v>0</v>
      </c>
      <c r="K10" s="32">
        <f>J10*AD10</f>
        <v>0</v>
      </c>
      <c r="L10" s="32">
        <v>100000</v>
      </c>
      <c r="M10" s="32">
        <f>L10*AD10</f>
        <v>26.8</v>
      </c>
      <c r="O10" s="32">
        <f>N10*AD10</f>
        <v>0</v>
      </c>
      <c r="Q10" s="32">
        <f>P10*AD10</f>
        <v>0</v>
      </c>
      <c r="T10" s="32" t="s">
        <v>137</v>
      </c>
      <c r="AB10" s="32" t="s">
        <v>223</v>
      </c>
      <c r="AC10" s="32">
        <f>B10+D10+F10+H10+J10+L10+N10+P10</f>
        <v>200000</v>
      </c>
      <c r="AD10" s="53">
        <f>(252+16)/1000000</f>
        <v>0.000268</v>
      </c>
      <c r="AE10" s="53">
        <f>AC10*AD10</f>
        <v>53.6</v>
      </c>
      <c r="AG10" s="32">
        <v>21</v>
      </c>
      <c r="AI10" s="32" t="s">
        <v>164</v>
      </c>
      <c r="AJ10" s="55">
        <f>SUM(E2:E996)</f>
        <v>442.67199999999997</v>
      </c>
      <c r="AL10" s="32" t="s">
        <v>51</v>
      </c>
      <c r="AM10" s="55">
        <f>AJ10/$AJ$5</f>
        <v>14.755733333333332</v>
      </c>
      <c r="AO10" s="32" t="s">
        <v>130</v>
      </c>
      <c r="AP10" s="32">
        <f>COUNTA(Y2:Y53)</f>
        <v>0</v>
      </c>
    </row>
    <row r="11" spans="1:42" ht="14.25">
      <c r="A11" s="56">
        <v>43261</v>
      </c>
      <c r="C11" s="32">
        <f>B11*AD11</f>
        <v>0</v>
      </c>
      <c r="D11" s="32">
        <v>11000</v>
      </c>
      <c r="E11" s="32">
        <f>D11*AD11</f>
        <v>2.948</v>
      </c>
      <c r="F11" s="32">
        <f>99000*2</f>
        <v>198000</v>
      </c>
      <c r="G11" s="32">
        <f>F11*AD11</f>
        <v>53.064</v>
      </c>
      <c r="I11" s="32">
        <f>H11*AD11</f>
        <v>0</v>
      </c>
      <c r="K11" s="32">
        <f>J11*AD11</f>
        <v>0</v>
      </c>
      <c r="L11" s="32">
        <v>110000</v>
      </c>
      <c r="M11" s="32">
        <f>L11*AD11</f>
        <v>29.48</v>
      </c>
      <c r="O11" s="32">
        <f>N11*AD11</f>
        <v>0</v>
      </c>
      <c r="Q11" s="32">
        <f>P11*AD11</f>
        <v>0</v>
      </c>
      <c r="T11" s="32" t="s">
        <v>137</v>
      </c>
      <c r="AB11" s="60" t="s">
        <v>224</v>
      </c>
      <c r="AC11" s="32">
        <f>B11+D11+F11+H11+J11+L11+N11+P11</f>
        <v>319000</v>
      </c>
      <c r="AD11" s="53">
        <f>(252+16)/1000000</f>
        <v>0.000268</v>
      </c>
      <c r="AE11" s="53">
        <f>AC11*AD11</f>
        <v>85.492</v>
      </c>
      <c r="AG11" s="32">
        <v>21</v>
      </c>
      <c r="AI11" s="32" t="s">
        <v>165</v>
      </c>
      <c r="AJ11" s="55">
        <f>SUM(G2:G996)</f>
        <v>834.4680000000002</v>
      </c>
      <c r="AL11" s="32" t="s">
        <v>166</v>
      </c>
      <c r="AM11" s="55">
        <f>AJ11/$AJ$5</f>
        <v>27.815600000000007</v>
      </c>
      <c r="AO11" s="32" t="s">
        <v>167</v>
      </c>
      <c r="AP11" s="32">
        <f>COUNTA(Z2:Z54)</f>
        <v>0</v>
      </c>
    </row>
    <row r="12" spans="1:42" ht="14.25">
      <c r="A12" s="56">
        <v>43262</v>
      </c>
      <c r="C12" s="32">
        <f>B12*AD12</f>
        <v>0</v>
      </c>
      <c r="D12" s="32">
        <f>14000+10000</f>
        <v>24000</v>
      </c>
      <c r="E12" s="32">
        <f>D12*AD12</f>
        <v>6.432</v>
      </c>
      <c r="F12" s="32">
        <f>22000+55000</f>
        <v>77000</v>
      </c>
      <c r="G12" s="32">
        <f>F12*AD12</f>
        <v>20.636</v>
      </c>
      <c r="I12" s="32">
        <f>H12*AD12</f>
        <v>0</v>
      </c>
      <c r="K12" s="32">
        <f>J12*AD12</f>
        <v>0</v>
      </c>
      <c r="L12" s="32">
        <v>110000</v>
      </c>
      <c r="M12" s="32">
        <f>L12*AD12</f>
        <v>29.48</v>
      </c>
      <c r="O12" s="32">
        <f>N12*AD12</f>
        <v>0</v>
      </c>
      <c r="Q12" s="32">
        <f>P12*AD12</f>
        <v>0</v>
      </c>
      <c r="T12" s="32" t="s">
        <v>137</v>
      </c>
      <c r="AB12" s="60" t="s">
        <v>218</v>
      </c>
      <c r="AC12" s="32">
        <f>B12+D12+F12+H12+J12+L12+N12+P12</f>
        <v>211000</v>
      </c>
      <c r="AD12" s="53">
        <f>(252+16)/1000000</f>
        <v>0.000268</v>
      </c>
      <c r="AE12" s="53">
        <f>AC12*AD12</f>
        <v>56.548</v>
      </c>
      <c r="AG12" s="32">
        <v>21</v>
      </c>
      <c r="AI12" s="32" t="s">
        <v>168</v>
      </c>
      <c r="AJ12" s="55">
        <f>SUM(K2:K996)</f>
        <v>65.54999999999998</v>
      </c>
      <c r="AL12" s="32" t="s">
        <v>117</v>
      </c>
      <c r="AM12" s="55">
        <f>AJ12/$AJ$5</f>
        <v>2.1849999999999996</v>
      </c>
      <c r="AO12" s="32" t="s">
        <v>211</v>
      </c>
      <c r="AP12" s="32">
        <f>COUNTA(X2:X54)</f>
        <v>1</v>
      </c>
    </row>
    <row r="13" spans="1:39" ht="14.25">
      <c r="A13" s="56">
        <v>43263</v>
      </c>
      <c r="B13" s="1"/>
      <c r="C13" s="32">
        <f>B13*AD13</f>
        <v>0</v>
      </c>
      <c r="D13" s="32">
        <f>6000+14500+26000</f>
        <v>46500</v>
      </c>
      <c r="E13" s="32">
        <f>D13*AD13</f>
        <v>12.462</v>
      </c>
      <c r="F13" s="32">
        <f>44000+43000</f>
        <v>87000</v>
      </c>
      <c r="G13" s="32">
        <f>F13*AD13</f>
        <v>23.316000000000003</v>
      </c>
      <c r="I13" s="32">
        <f>H13*AD13</f>
        <v>0</v>
      </c>
      <c r="K13" s="32">
        <f>J13*AD13</f>
        <v>0</v>
      </c>
      <c r="L13" s="32">
        <v>100000</v>
      </c>
      <c r="M13" s="32">
        <f>L13*AD13</f>
        <v>26.8</v>
      </c>
      <c r="O13" s="32">
        <f>N13*AD13</f>
        <v>0</v>
      </c>
      <c r="Q13" s="32">
        <f>P13*AD13</f>
        <v>0</v>
      </c>
      <c r="T13" s="32" t="s">
        <v>137</v>
      </c>
      <c r="AB13" s="60" t="s">
        <v>218</v>
      </c>
      <c r="AC13" s="32">
        <f>B13+D13+F13+H13+J13+L13+N13+P13</f>
        <v>233500</v>
      </c>
      <c r="AD13" s="53">
        <f>(252+16)/1000000</f>
        <v>0.000268</v>
      </c>
      <c r="AE13" s="53">
        <f>AC13*AD13</f>
        <v>62.578</v>
      </c>
      <c r="AG13" s="32">
        <v>21</v>
      </c>
      <c r="AI13" s="32" t="s">
        <v>169</v>
      </c>
      <c r="AJ13" s="55">
        <f>SUM(I2:I996)</f>
        <v>83.6</v>
      </c>
      <c r="AL13" s="32" t="s">
        <v>115</v>
      </c>
      <c r="AM13" s="55">
        <f>AJ13/$AJ$5</f>
        <v>2.7866666666666666</v>
      </c>
    </row>
    <row r="14" spans="1:36" ht="14.25">
      <c r="A14" s="56">
        <v>43264</v>
      </c>
      <c r="C14" s="32">
        <f>B14*AD14</f>
        <v>0</v>
      </c>
      <c r="D14" s="32">
        <v>21500</v>
      </c>
      <c r="E14" s="32">
        <f>D14*AD14</f>
        <v>5.7620000000000005</v>
      </c>
      <c r="F14" s="32">
        <v>198000</v>
      </c>
      <c r="G14" s="32">
        <f>F14*AD14</f>
        <v>53.064</v>
      </c>
      <c r="I14" s="32">
        <f>H14*AD14</f>
        <v>0</v>
      </c>
      <c r="K14" s="32">
        <f>J14*AD14</f>
        <v>0</v>
      </c>
      <c r="L14" s="32">
        <v>100000</v>
      </c>
      <c r="M14" s="32">
        <f>L14*AD14</f>
        <v>26.8</v>
      </c>
      <c r="O14" s="32">
        <f>N14*AD14</f>
        <v>0</v>
      </c>
      <c r="Q14" s="32">
        <f>P14*AD14</f>
        <v>0</v>
      </c>
      <c r="T14" s="32" t="s">
        <v>137</v>
      </c>
      <c r="AB14" s="60" t="s">
        <v>218</v>
      </c>
      <c r="AC14" s="32">
        <f>B14+D14+F14+H14+J14+L14+N14+P14</f>
        <v>319500</v>
      </c>
      <c r="AD14" s="53">
        <f>(252+16)/1000000</f>
        <v>0.000268</v>
      </c>
      <c r="AE14" s="53">
        <f>AC14*AD14</f>
        <v>85.626</v>
      </c>
      <c r="AG14" s="32">
        <v>21</v>
      </c>
      <c r="AI14" s="32" t="s">
        <v>171</v>
      </c>
      <c r="AJ14" s="55">
        <f>SUM(O2:O996)</f>
        <v>0</v>
      </c>
    </row>
    <row r="15" spans="1:36" ht="14.25">
      <c r="A15" s="56">
        <v>43265</v>
      </c>
      <c r="C15" s="32">
        <f>B15*AD15</f>
        <v>0</v>
      </c>
      <c r="D15" s="32">
        <f>14500+24000+14000</f>
        <v>52500</v>
      </c>
      <c r="E15" s="32">
        <f>D15*AD15</f>
        <v>14.07</v>
      </c>
      <c r="F15" s="32">
        <f>40000+50000</f>
        <v>90000</v>
      </c>
      <c r="G15" s="32">
        <f>F15*AD15</f>
        <v>24.12</v>
      </c>
      <c r="I15" s="32">
        <f>H15*AD15</f>
        <v>0</v>
      </c>
      <c r="K15" s="32">
        <f>J15*AD15</f>
        <v>0</v>
      </c>
      <c r="L15" s="32">
        <v>115000</v>
      </c>
      <c r="M15" s="32">
        <f>L15*AD15</f>
        <v>30.82</v>
      </c>
      <c r="O15" s="32">
        <f>N15*AD15</f>
        <v>0</v>
      </c>
      <c r="Q15" s="32">
        <f>P15*AD15</f>
        <v>0</v>
      </c>
      <c r="T15" s="32" t="s">
        <v>137</v>
      </c>
      <c r="AB15" s="60" t="s">
        <v>218</v>
      </c>
      <c r="AC15" s="32">
        <f>B15+D15+F15+H15+J15+L15+N15+P15</f>
        <v>257500</v>
      </c>
      <c r="AD15" s="53">
        <f>(252+16)/1000000</f>
        <v>0.000268</v>
      </c>
      <c r="AE15" s="53">
        <f>AC15*AD15</f>
        <v>69.01</v>
      </c>
      <c r="AG15" s="32">
        <v>21</v>
      </c>
      <c r="AI15" s="32" t="s">
        <v>173</v>
      </c>
      <c r="AJ15" s="32">
        <f>SUM(Q2:Q62)</f>
        <v>228</v>
      </c>
    </row>
    <row r="16" spans="1:35" ht="12.75">
      <c r="A16" s="56">
        <v>43266</v>
      </c>
      <c r="C16" s="32">
        <f>B16*AD16</f>
        <v>0</v>
      </c>
      <c r="D16" s="32">
        <v>8000</v>
      </c>
      <c r="E16" s="32">
        <f>D16*AD16</f>
        <v>2.144</v>
      </c>
      <c r="F16" s="32">
        <v>198000</v>
      </c>
      <c r="G16" s="32">
        <f>F16*AD16</f>
        <v>53.064</v>
      </c>
      <c r="I16" s="32">
        <f>H16*AD16</f>
        <v>0</v>
      </c>
      <c r="K16" s="32">
        <f>J16*AD16</f>
        <v>0</v>
      </c>
      <c r="L16" s="32">
        <v>115000</v>
      </c>
      <c r="M16" s="32">
        <f>L16*AD16</f>
        <v>30.82</v>
      </c>
      <c r="O16" s="32">
        <f>N16*AD16</f>
        <v>0</v>
      </c>
      <c r="Q16" s="32">
        <f>P16*AD16</f>
        <v>0</v>
      </c>
      <c r="T16" s="32" t="s">
        <v>137</v>
      </c>
      <c r="AB16" s="60" t="s">
        <v>218</v>
      </c>
      <c r="AC16" s="32">
        <f>B16+D16+F16+H16+J16+L16+N16+P16</f>
        <v>321000</v>
      </c>
      <c r="AD16" s="53">
        <f>(252+16)/1000000</f>
        <v>0.000268</v>
      </c>
      <c r="AE16" s="53">
        <f>AC16*AD16</f>
        <v>86.028</v>
      </c>
      <c r="AG16" s="32">
        <v>21</v>
      </c>
      <c r="AI16" s="59"/>
    </row>
    <row r="17" spans="1:44" ht="14.25">
      <c r="A17" s="56">
        <v>43267</v>
      </c>
      <c r="C17" s="32">
        <f>B17*AD17</f>
        <v>0</v>
      </c>
      <c r="D17" s="32">
        <f>4500+39000</f>
        <v>43500</v>
      </c>
      <c r="E17" s="32">
        <f>D17*AD17</f>
        <v>11.658000000000001</v>
      </c>
      <c r="F17" s="32">
        <v>198000</v>
      </c>
      <c r="G17" s="32">
        <f>F17*AD17</f>
        <v>53.064</v>
      </c>
      <c r="I17" s="32">
        <f>H17*AD17</f>
        <v>0</v>
      </c>
      <c r="K17" s="32">
        <f>J17*AD17</f>
        <v>0</v>
      </c>
      <c r="L17" s="32">
        <v>115000</v>
      </c>
      <c r="M17" s="32">
        <f>L17*AD17</f>
        <v>30.82</v>
      </c>
      <c r="O17" s="32">
        <f>N17*AD17</f>
        <v>0</v>
      </c>
      <c r="Q17" s="32">
        <f>P17*AD17</f>
        <v>0</v>
      </c>
      <c r="T17" s="32" t="s">
        <v>137</v>
      </c>
      <c r="AB17" s="60" t="s">
        <v>218</v>
      </c>
      <c r="AC17" s="32">
        <f>B17+D17+F17+H17+J17+L17+N17+P17</f>
        <v>356500</v>
      </c>
      <c r="AD17" s="53">
        <f>(252+16)/1000000</f>
        <v>0.000268</v>
      </c>
      <c r="AE17" s="53">
        <f>AC17*AD17</f>
        <v>95.542</v>
      </c>
      <c r="AG17" s="32">
        <v>21</v>
      </c>
      <c r="AR17" s="54"/>
    </row>
    <row r="18" spans="1:44" ht="14.25">
      <c r="A18" s="56">
        <v>43268</v>
      </c>
      <c r="C18" s="32">
        <f>B18*AD18</f>
        <v>0</v>
      </c>
      <c r="D18" s="32">
        <f>4500+17000</f>
        <v>21500</v>
      </c>
      <c r="E18" s="32">
        <f>D18*AD18</f>
        <v>5.7620000000000005</v>
      </c>
      <c r="F18" s="32">
        <v>198000</v>
      </c>
      <c r="G18" s="32">
        <f>F18*AD18</f>
        <v>53.064</v>
      </c>
      <c r="I18" s="32">
        <f>H18*AD18</f>
        <v>0</v>
      </c>
      <c r="K18" s="32">
        <f>J18*AD18</f>
        <v>0</v>
      </c>
      <c r="L18" s="32">
        <v>115000</v>
      </c>
      <c r="M18" s="32">
        <f>L18*AD18</f>
        <v>30.82</v>
      </c>
      <c r="O18" s="32">
        <f>N18*AD18</f>
        <v>0</v>
      </c>
      <c r="Q18" s="32">
        <f>P18*AD18</f>
        <v>0</v>
      </c>
      <c r="T18" s="32" t="s">
        <v>137</v>
      </c>
      <c r="AB18" s="60" t="s">
        <v>218</v>
      </c>
      <c r="AC18" s="32">
        <f>B18+D18+F18+H18+J18+L18+N18+P18</f>
        <v>334500</v>
      </c>
      <c r="AD18" s="53">
        <f>(252+16)/1000000</f>
        <v>0.000268</v>
      </c>
      <c r="AE18" s="53">
        <f>AC18*AD18</f>
        <v>89.646</v>
      </c>
      <c r="AG18" s="32">
        <v>21</v>
      </c>
      <c r="AI18" s="32" t="s">
        <v>177</v>
      </c>
      <c r="AJ18" s="32">
        <f>SUM(AA2:AA52)</f>
        <v>0</v>
      </c>
      <c r="AR18" s="54"/>
    </row>
    <row r="19" spans="1:33" ht="14.25">
      <c r="A19" s="56">
        <v>43269</v>
      </c>
      <c r="C19" s="32">
        <f>B19*AD19</f>
        <v>0</v>
      </c>
      <c r="D19" s="32">
        <f>41000+17000</f>
        <v>58000</v>
      </c>
      <c r="E19" s="32">
        <f>D19*AD19</f>
        <v>15.544</v>
      </c>
      <c r="F19" s="32">
        <f>40000+60000</f>
        <v>100000</v>
      </c>
      <c r="G19" s="32">
        <f>F19*AD19</f>
        <v>26.8</v>
      </c>
      <c r="I19" s="32">
        <f>H19*AD19</f>
        <v>0</v>
      </c>
      <c r="K19" s="32">
        <f>J19*AD19</f>
        <v>0</v>
      </c>
      <c r="L19" s="32">
        <v>115000</v>
      </c>
      <c r="M19" s="32">
        <f>L19*AD19</f>
        <v>30.82</v>
      </c>
      <c r="O19" s="32">
        <f>N19*AD19</f>
        <v>0</v>
      </c>
      <c r="Q19" s="32">
        <f>P19*AD19</f>
        <v>0</v>
      </c>
      <c r="T19" s="32" t="s">
        <v>137</v>
      </c>
      <c r="AB19" s="60" t="s">
        <v>218</v>
      </c>
      <c r="AC19" s="32">
        <f>B19+D19+F19+H19+J19+L19+N19+P19</f>
        <v>273000</v>
      </c>
      <c r="AD19" s="53">
        <f>(252+16)/1000000</f>
        <v>0.000268</v>
      </c>
      <c r="AE19" s="53">
        <f>AC19*AD19</f>
        <v>73.164</v>
      </c>
      <c r="AG19" s="32">
        <v>21</v>
      </c>
    </row>
    <row r="20" spans="1:33" ht="14.25">
      <c r="A20" s="56">
        <v>43270</v>
      </c>
      <c r="B20" s="32">
        <v>80000</v>
      </c>
      <c r="C20" s="32">
        <f>B20*AD20</f>
        <v>21.44</v>
      </c>
      <c r="D20" s="32">
        <v>35000</v>
      </c>
      <c r="E20" s="32">
        <f>D20*AD20</f>
        <v>9.38</v>
      </c>
      <c r="F20" s="32">
        <v>70000</v>
      </c>
      <c r="G20" s="32">
        <f>F20*AD20</f>
        <v>18.76</v>
      </c>
      <c r="I20" s="32">
        <f>H20*AD20</f>
        <v>0</v>
      </c>
      <c r="K20" s="32">
        <f>J20*AD20</f>
        <v>0</v>
      </c>
      <c r="M20" s="32">
        <f>L20*AD20</f>
        <v>0</v>
      </c>
      <c r="O20" s="32">
        <f>N20*AD20</f>
        <v>0</v>
      </c>
      <c r="Q20" s="32">
        <f>P20*AD20</f>
        <v>0</v>
      </c>
      <c r="X20" s="32" t="s">
        <v>137</v>
      </c>
      <c r="AB20" s="60" t="s">
        <v>218</v>
      </c>
      <c r="AC20" s="32">
        <f>B20+D20+F20+H20+J20+L20+N20+P20</f>
        <v>185000</v>
      </c>
      <c r="AD20" s="53">
        <f>(252+16)/1000000</f>
        <v>0.000268</v>
      </c>
      <c r="AE20" s="53">
        <f>AC20*AD20</f>
        <v>49.58</v>
      </c>
      <c r="AG20" s="32">
        <v>21</v>
      </c>
    </row>
    <row r="21" spans="1:31" ht="14.25">
      <c r="A21" s="56"/>
      <c r="B21" s="32">
        <v>240.53</v>
      </c>
      <c r="C21" s="32">
        <f>B21*AD21</f>
        <v>865.908</v>
      </c>
      <c r="E21" s="32">
        <f>D21*AD21</f>
        <v>0</v>
      </c>
      <c r="G21" s="32">
        <f>F21*AD21</f>
        <v>0</v>
      </c>
      <c r="I21" s="32">
        <f>H21*AD21</f>
        <v>0</v>
      </c>
      <c r="K21" s="32">
        <f>J21*AD21</f>
        <v>0</v>
      </c>
      <c r="M21" s="32">
        <f>L21*AD21</f>
        <v>0</v>
      </c>
      <c r="O21" s="32">
        <f>N21*AD21</f>
        <v>0</v>
      </c>
      <c r="Q21" s="32">
        <f>P21*AD21</f>
        <v>0</v>
      </c>
      <c r="AB21" s="60"/>
      <c r="AC21" s="32">
        <f>B21+D21+F21+H21+J21+L21+N21+P21</f>
        <v>240.53</v>
      </c>
      <c r="AD21" s="53">
        <v>3.6</v>
      </c>
      <c r="AE21" s="53">
        <f>AC21*AD21</f>
        <v>865.908</v>
      </c>
    </row>
    <row r="22" spans="1:33" ht="14.25">
      <c r="A22" s="56">
        <v>43271</v>
      </c>
      <c r="B22" s="32">
        <v>7</v>
      </c>
      <c r="C22" s="32">
        <f>B22*AD22</f>
        <v>26.599999999999998</v>
      </c>
      <c r="D22" s="32">
        <f>0.5+1.8+0.95</f>
        <v>3.25</v>
      </c>
      <c r="E22" s="32">
        <f>D22*AD22</f>
        <v>12.35</v>
      </c>
      <c r="F22" s="32">
        <f>5+3.4</f>
        <v>8.4</v>
      </c>
      <c r="G22" s="32">
        <f>F22*AD22</f>
        <v>31.919999999999998</v>
      </c>
      <c r="I22" s="32">
        <f>H22*AD22</f>
        <v>0</v>
      </c>
      <c r="K22" s="32">
        <f>J22*AD22</f>
        <v>0</v>
      </c>
      <c r="L22" s="32">
        <v>6</v>
      </c>
      <c r="M22" s="32">
        <f>L22*AD22</f>
        <v>22.799999999999997</v>
      </c>
      <c r="O22" s="32">
        <f>N22*AD22</f>
        <v>0</v>
      </c>
      <c r="P22" s="32">
        <f>30*2</f>
        <v>60</v>
      </c>
      <c r="Q22" s="32">
        <f>P22*AD22</f>
        <v>228</v>
      </c>
      <c r="T22" s="32" t="s">
        <v>137</v>
      </c>
      <c r="AB22" s="60" t="s">
        <v>225</v>
      </c>
      <c r="AC22" s="32">
        <f>B22+D22+F22+H22+J22+L22+N22+P22</f>
        <v>84.65</v>
      </c>
      <c r="AD22" s="53">
        <v>3.8</v>
      </c>
      <c r="AE22" s="53">
        <f>AC22*AD22</f>
        <v>321.67</v>
      </c>
      <c r="AG22" s="32">
        <v>22</v>
      </c>
    </row>
    <row r="23" spans="1:33" ht="14.25">
      <c r="A23" s="56">
        <v>43272</v>
      </c>
      <c r="C23" s="32">
        <f>B23*AD23</f>
        <v>0</v>
      </c>
      <c r="D23" s="32">
        <f>9.9+2.5</f>
        <v>12.4</v>
      </c>
      <c r="E23" s="32">
        <f>D23*AD23</f>
        <v>47.12</v>
      </c>
      <c r="F23" s="32">
        <f>3.5+3.8</f>
        <v>7.3</v>
      </c>
      <c r="G23" s="32">
        <f>F23*AD23</f>
        <v>27.74</v>
      </c>
      <c r="I23" s="32">
        <f>H23*AD23</f>
        <v>0</v>
      </c>
      <c r="J23" s="32">
        <v>3</v>
      </c>
      <c r="K23" s="32">
        <f>J23*AD23</f>
        <v>11.399999999999999</v>
      </c>
      <c r="L23" s="32">
        <v>6</v>
      </c>
      <c r="M23" s="32">
        <f>L23*AD23</f>
        <v>22.799999999999997</v>
      </c>
      <c r="O23" s="32">
        <f>N23*AD23</f>
        <v>0</v>
      </c>
      <c r="Q23" s="32">
        <f>P23*AD23</f>
        <v>0</v>
      </c>
      <c r="T23" s="32" t="s">
        <v>137</v>
      </c>
      <c r="AB23" s="60" t="s">
        <v>226</v>
      </c>
      <c r="AC23" s="32">
        <f>B23+D23+F23+H23+J23+L23+N23+P23</f>
        <v>28.7</v>
      </c>
      <c r="AD23" s="53">
        <v>3.8</v>
      </c>
      <c r="AE23" s="53">
        <f>AC23*AD23</f>
        <v>109.05999999999999</v>
      </c>
      <c r="AG23" s="32">
        <v>22</v>
      </c>
    </row>
    <row r="24" spans="1:33" ht="14.25">
      <c r="A24" s="56">
        <v>43273</v>
      </c>
      <c r="C24" s="32">
        <f>B24*AD24</f>
        <v>0</v>
      </c>
      <c r="D24" s="32">
        <f>0.7+0.59</f>
        <v>1.29</v>
      </c>
      <c r="E24" s="32">
        <f>D24*AD24</f>
        <v>4.902</v>
      </c>
      <c r="F24" s="32">
        <f>14/4+15/4</f>
        <v>7.25</v>
      </c>
      <c r="G24" s="32">
        <f>F24*AD24</f>
        <v>27.549999999999997</v>
      </c>
      <c r="I24" s="32">
        <f>H24*AD24</f>
        <v>0</v>
      </c>
      <c r="J24" s="32">
        <v>6</v>
      </c>
      <c r="K24" s="32">
        <f>J24*AD24</f>
        <v>22.799999999999997</v>
      </c>
      <c r="L24" s="32">
        <v>6</v>
      </c>
      <c r="M24" s="32">
        <f>L24*AD24</f>
        <v>22.799999999999997</v>
      </c>
      <c r="O24" s="32">
        <f>N24*AD24</f>
        <v>0</v>
      </c>
      <c r="Q24" s="32">
        <f>P24*AD24</f>
        <v>0</v>
      </c>
      <c r="T24" s="32" t="s">
        <v>137</v>
      </c>
      <c r="AB24" s="60" t="s">
        <v>226</v>
      </c>
      <c r="AC24" s="32">
        <f>B24+D24+F24+H24+J24+L24+N24+P24</f>
        <v>20.54</v>
      </c>
      <c r="AD24" s="53">
        <v>3.8</v>
      </c>
      <c r="AE24" s="53">
        <f>AC24*AD24</f>
        <v>78.05199999999999</v>
      </c>
      <c r="AG24" s="32">
        <v>22</v>
      </c>
    </row>
    <row r="25" spans="1:33" ht="14.25">
      <c r="A25" s="56">
        <v>43274</v>
      </c>
      <c r="C25" s="32">
        <f>B25*AD25</f>
        <v>0</v>
      </c>
      <c r="D25" s="32">
        <f>0.5+2.5+0.83+1.5</f>
        <v>5.33</v>
      </c>
      <c r="E25" s="32">
        <f>D25*AD25</f>
        <v>20.253999999999998</v>
      </c>
      <c r="F25" s="32">
        <f>15000/4000+16000/4000</f>
        <v>7.75</v>
      </c>
      <c r="G25" s="32">
        <f>F25*AD25</f>
        <v>29.45</v>
      </c>
      <c r="I25" s="32">
        <f>H25*AD25</f>
        <v>0</v>
      </c>
      <c r="K25" s="32">
        <f>J25*AD25</f>
        <v>0</v>
      </c>
      <c r="L25" s="32">
        <v>6</v>
      </c>
      <c r="M25" s="32">
        <f>L25*AD25</f>
        <v>22.799999999999997</v>
      </c>
      <c r="O25" s="32">
        <f>N25*AD25</f>
        <v>0</v>
      </c>
      <c r="Q25" s="32">
        <f>P25*AD25</f>
        <v>0</v>
      </c>
      <c r="T25" s="32" t="s">
        <v>137</v>
      </c>
      <c r="AB25" s="60" t="s">
        <v>226</v>
      </c>
      <c r="AC25" s="32">
        <f>B25+D25+F25+H25+J25+L25+N25+P25</f>
        <v>19.08</v>
      </c>
      <c r="AD25" s="53">
        <v>3.8</v>
      </c>
      <c r="AE25" s="53">
        <f>AC25*AD25</f>
        <v>72.50399999999999</v>
      </c>
      <c r="AG25" s="32">
        <v>22</v>
      </c>
    </row>
    <row r="26" spans="1:33" ht="14.25">
      <c r="A26" s="56">
        <v>43275</v>
      </c>
      <c r="C26" s="32">
        <f>B26*AD26</f>
        <v>0</v>
      </c>
      <c r="E26" s="32">
        <f>D26*AD26</f>
        <v>0</v>
      </c>
      <c r="F26" s="32">
        <f>15000/4000+16000/4000</f>
        <v>7.75</v>
      </c>
      <c r="G26" s="32">
        <f>F26*AD26</f>
        <v>29.45</v>
      </c>
      <c r="I26" s="32">
        <f>H26*AD26</f>
        <v>0</v>
      </c>
      <c r="K26" s="32">
        <f>J26*AD26</f>
        <v>0</v>
      </c>
      <c r="L26" s="32">
        <v>6</v>
      </c>
      <c r="M26" s="32">
        <f>L26*AD26</f>
        <v>22.799999999999997</v>
      </c>
      <c r="O26" s="32">
        <f>N26*AD26</f>
        <v>0</v>
      </c>
      <c r="Q26" s="32">
        <f>P26*AD26</f>
        <v>0</v>
      </c>
      <c r="T26" s="32" t="s">
        <v>137</v>
      </c>
      <c r="AB26" s="60" t="s">
        <v>226</v>
      </c>
      <c r="AC26" s="32">
        <f>B26+D26+F26+H26+J26+L26+N26+P26</f>
        <v>13.75</v>
      </c>
      <c r="AD26" s="53">
        <v>3.8</v>
      </c>
      <c r="AE26" s="53">
        <f>AC26*AD26</f>
        <v>52.25</v>
      </c>
      <c r="AG26" s="32">
        <v>22</v>
      </c>
    </row>
    <row r="27" spans="1:33" ht="14.25">
      <c r="A27" s="56">
        <v>43276</v>
      </c>
      <c r="B27" s="32">
        <f>6*2</f>
        <v>12</v>
      </c>
      <c r="C27" s="32">
        <f>B27*AD27</f>
        <v>45.599999999999994</v>
      </c>
      <c r="D27" s="32">
        <f>0.5+1+0.5+1</f>
        <v>3</v>
      </c>
      <c r="E27" s="32">
        <f>D27*AD27</f>
        <v>11.399999999999999</v>
      </c>
      <c r="F27" s="32">
        <f>15000/4000+16000/4000</f>
        <v>7.75</v>
      </c>
      <c r="G27" s="32">
        <f>F27*AD27</f>
        <v>29.45</v>
      </c>
      <c r="H27" s="32">
        <f>(3+3+3)+(5+5+3)</f>
        <v>22</v>
      </c>
      <c r="I27" s="32">
        <f>H27*AD27</f>
        <v>83.6</v>
      </c>
      <c r="J27" s="32">
        <f>7+5000/4000</f>
        <v>8.25</v>
      </c>
      <c r="K27" s="32">
        <f>J27*AD27</f>
        <v>31.349999999999998</v>
      </c>
      <c r="L27" s="32">
        <v>6</v>
      </c>
      <c r="M27" s="32">
        <f>L27*AD27</f>
        <v>22.799999999999997</v>
      </c>
      <c r="O27" s="32">
        <f>N27*AD27</f>
        <v>0</v>
      </c>
      <c r="Q27" s="32">
        <f>P27*AD27</f>
        <v>0</v>
      </c>
      <c r="T27" s="32" t="s">
        <v>137</v>
      </c>
      <c r="AB27" s="60" t="s">
        <v>226</v>
      </c>
      <c r="AC27" s="32">
        <f>B27+D27+F27+H27+J27+L27+N27+P27</f>
        <v>59</v>
      </c>
      <c r="AD27" s="53">
        <v>3.8</v>
      </c>
      <c r="AE27" s="53">
        <f>AC27*AD27</f>
        <v>224.2</v>
      </c>
      <c r="AG27" s="32">
        <v>22</v>
      </c>
    </row>
    <row r="28" spans="1:33" ht="14.25">
      <c r="A28" s="56">
        <v>43277</v>
      </c>
      <c r="C28" s="32">
        <f>B28*AD28</f>
        <v>0</v>
      </c>
      <c r="D28" s="32">
        <f>4+0.5+3000/4000</f>
        <v>5.25</v>
      </c>
      <c r="E28" s="32">
        <f>D28*AD28</f>
        <v>19.95</v>
      </c>
      <c r="F28" s="32">
        <f>10000/4000+16000/4000</f>
        <v>6.5</v>
      </c>
      <c r="G28" s="32">
        <f>F28*AD28</f>
        <v>24.7</v>
      </c>
      <c r="I28" s="32">
        <f>H28*AD28</f>
        <v>0</v>
      </c>
      <c r="K28" s="32">
        <f>J28*AD28</f>
        <v>0</v>
      </c>
      <c r="L28" s="32">
        <v>8.5</v>
      </c>
      <c r="M28" s="32">
        <f>L28*AD28</f>
        <v>32.3</v>
      </c>
      <c r="O28" s="32">
        <f>N28*AD28</f>
        <v>0</v>
      </c>
      <c r="Q28" s="32">
        <f>P28*AD28</f>
        <v>0</v>
      </c>
      <c r="T28" s="32" t="s">
        <v>137</v>
      </c>
      <c r="AB28" s="32" t="s">
        <v>227</v>
      </c>
      <c r="AC28" s="32">
        <f>B28+D28+F28+H28+J28+L28+N28+P28</f>
        <v>20.25</v>
      </c>
      <c r="AD28" s="53">
        <v>3.8</v>
      </c>
      <c r="AE28" s="53">
        <f>AC28*AD28</f>
        <v>76.95</v>
      </c>
      <c r="AG28" s="32">
        <v>22</v>
      </c>
    </row>
    <row r="29" spans="1:33" ht="14.25">
      <c r="A29" s="56">
        <v>43278</v>
      </c>
      <c r="C29" s="32">
        <f>B29*AD29</f>
        <v>0</v>
      </c>
      <c r="D29" s="32">
        <f>7.9+1</f>
        <v>8.9</v>
      </c>
      <c r="E29" s="32">
        <f>D29*AD29</f>
        <v>33.82</v>
      </c>
      <c r="F29" s="32">
        <f>5000*4/4000</f>
        <v>5</v>
      </c>
      <c r="G29" s="32">
        <f>F29*AD29</f>
        <v>19</v>
      </c>
      <c r="I29" s="32">
        <f>H29*AD29</f>
        <v>0</v>
      </c>
      <c r="K29" s="32">
        <f>J29*AD29</f>
        <v>0</v>
      </c>
      <c r="L29" s="32">
        <v>8.5</v>
      </c>
      <c r="M29" s="32">
        <f>L29*AD29</f>
        <v>32.3</v>
      </c>
      <c r="O29" s="32">
        <f>N29*AD29</f>
        <v>0</v>
      </c>
      <c r="Q29" s="32">
        <f>P29*AD29</f>
        <v>0</v>
      </c>
      <c r="T29" s="32" t="s">
        <v>137</v>
      </c>
      <c r="AB29" s="32" t="s">
        <v>228</v>
      </c>
      <c r="AC29" s="32">
        <f>B29+D29+F29+H29+J29+L29+N29+P29</f>
        <v>22.4</v>
      </c>
      <c r="AD29" s="53">
        <v>3.8</v>
      </c>
      <c r="AE29" s="53">
        <f>AC29*AD29</f>
        <v>85.11999999999999</v>
      </c>
      <c r="AG29" s="32">
        <v>22</v>
      </c>
    </row>
    <row r="30" spans="1:33" ht="14.25">
      <c r="A30" s="56">
        <v>43279</v>
      </c>
      <c r="C30" s="32">
        <f>B30*AD30</f>
        <v>0</v>
      </c>
      <c r="D30" s="32">
        <v>3</v>
      </c>
      <c r="E30" s="32">
        <f>D30*AD30</f>
        <v>11.399999999999999</v>
      </c>
      <c r="F30" s="32">
        <f>5000*4/4000</f>
        <v>5</v>
      </c>
      <c r="G30" s="32">
        <f>F30*AD30</f>
        <v>19</v>
      </c>
      <c r="I30" s="32">
        <f>H30*AD30</f>
        <v>0</v>
      </c>
      <c r="K30" s="32">
        <f>J30*AD30</f>
        <v>0</v>
      </c>
      <c r="L30" s="32">
        <v>8.5</v>
      </c>
      <c r="M30" s="32">
        <f>L30*AD30</f>
        <v>32.3</v>
      </c>
      <c r="O30" s="32">
        <f>N30*AD30</f>
        <v>0</v>
      </c>
      <c r="Q30" s="32">
        <f>P30*AD30</f>
        <v>0</v>
      </c>
      <c r="T30" s="32" t="s">
        <v>137</v>
      </c>
      <c r="AB30" s="32" t="s">
        <v>228</v>
      </c>
      <c r="AC30" s="32">
        <f>B30+D30+F30+H30+J30+L30+N30+P30</f>
        <v>16.5</v>
      </c>
      <c r="AD30" s="53">
        <v>3.8</v>
      </c>
      <c r="AE30" s="53">
        <f>AC30*AD30</f>
        <v>62.699999999999996</v>
      </c>
      <c r="AG30" s="32">
        <v>22</v>
      </c>
    </row>
    <row r="31" spans="1:33" ht="14.25">
      <c r="A31" s="56">
        <v>43280</v>
      </c>
      <c r="B31" s="32">
        <f>4+3.5</f>
        <v>7.5</v>
      </c>
      <c r="C31" s="32">
        <f>B31*AD31</f>
        <v>28.5</v>
      </c>
      <c r="D31" s="32">
        <f>3</f>
        <v>3</v>
      </c>
      <c r="E31" s="32">
        <f>D31*AD31</f>
        <v>11.399999999999999</v>
      </c>
      <c r="F31" s="32">
        <v>5</v>
      </c>
      <c r="G31" s="32">
        <f>F31*AD31</f>
        <v>19</v>
      </c>
      <c r="I31" s="32">
        <f>H31*AD31</f>
        <v>0</v>
      </c>
      <c r="K31" s="32">
        <f>J31*AD31</f>
        <v>0</v>
      </c>
      <c r="L31" s="32">
        <v>8.5</v>
      </c>
      <c r="M31" s="32">
        <f>L31*AD31</f>
        <v>32.3</v>
      </c>
      <c r="O31" s="32">
        <f>N31*AD31</f>
        <v>0</v>
      </c>
      <c r="Q31" s="32">
        <f>P31*AD31</f>
        <v>0</v>
      </c>
      <c r="T31" s="32" t="s">
        <v>137</v>
      </c>
      <c r="AB31" s="32" t="s">
        <v>228</v>
      </c>
      <c r="AC31" s="32">
        <f>B31+D31+F31+H31+J31+L31+N31+P31</f>
        <v>24</v>
      </c>
      <c r="AD31" s="53">
        <v>3.8</v>
      </c>
      <c r="AE31" s="53">
        <f>AC31*AD31</f>
        <v>91.19999999999999</v>
      </c>
      <c r="AG31" s="32">
        <v>22</v>
      </c>
    </row>
    <row r="32" spans="1:33" ht="12.75">
      <c r="A32" s="56">
        <v>43281</v>
      </c>
      <c r="C32" s="32">
        <f>B32*AD32</f>
        <v>0</v>
      </c>
      <c r="D32" s="32">
        <v>9.5</v>
      </c>
      <c r="E32" s="32">
        <f>D32*AD32</f>
        <v>37.05</v>
      </c>
      <c r="F32" s="32">
        <v>5</v>
      </c>
      <c r="G32" s="32">
        <f>F32*AD32</f>
        <v>19.5</v>
      </c>
      <c r="I32" s="32">
        <f>H32*AD32</f>
        <v>0</v>
      </c>
      <c r="K32" s="32">
        <f>J32*AD32</f>
        <v>0</v>
      </c>
      <c r="L32" s="32">
        <v>8.5</v>
      </c>
      <c r="M32" s="32">
        <f>L32*AD32</f>
        <v>33.15</v>
      </c>
      <c r="O32" s="32">
        <f>N32*AD32</f>
        <v>0</v>
      </c>
      <c r="Q32" s="32">
        <f>P32*AD32</f>
        <v>0</v>
      </c>
      <c r="T32" s="32" t="s">
        <v>137</v>
      </c>
      <c r="AB32" s="32" t="s">
        <v>228</v>
      </c>
      <c r="AC32" s="32">
        <f>B32+D32+F32+H32+J32+L32+N32+P32</f>
        <v>23</v>
      </c>
      <c r="AD32" s="53">
        <v>3.9</v>
      </c>
      <c r="AE32" s="53">
        <f>AC32*AD32</f>
        <v>89.7</v>
      </c>
      <c r="AG32" s="32">
        <v>22</v>
      </c>
    </row>
    <row r="33" spans="1:33" ht="12.75">
      <c r="A33" s="56"/>
      <c r="C33" s="32">
        <f>B33*AD33</f>
        <v>0</v>
      </c>
      <c r="E33" s="32">
        <f>D33*AD33</f>
        <v>0</v>
      </c>
      <c r="G33" s="32">
        <f>F33*AD33</f>
        <v>0</v>
      </c>
      <c r="I33" s="32">
        <f>H33*AD33</f>
        <v>0</v>
      </c>
      <c r="K33" s="32">
        <f>J33*AD33</f>
        <v>0</v>
      </c>
      <c r="M33" s="32">
        <f>L33*AD33</f>
        <v>0</v>
      </c>
      <c r="O33" s="32">
        <f>N33*AD33</f>
        <v>0</v>
      </c>
      <c r="Q33" s="32">
        <f>P33*AD33</f>
        <v>0</v>
      </c>
      <c r="AC33" s="32">
        <f>B33+D33+F33+H33+J33+L33+N33+P33</f>
        <v>0</v>
      </c>
      <c r="AD33" s="53">
        <f>(252+16)/1000000</f>
        <v>0.000268</v>
      </c>
      <c r="AE33" s="53">
        <f>AC33*AD33</f>
        <v>0</v>
      </c>
      <c r="AG33" s="32">
        <v>22</v>
      </c>
    </row>
    <row r="34" spans="1:33" ht="12.75">
      <c r="A34" s="56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(252+16)/1000000</f>
        <v>0.000268</v>
      </c>
      <c r="AE34" s="53">
        <f>AC34*AD34</f>
        <v>0</v>
      </c>
      <c r="AG34" s="32">
        <v>22</v>
      </c>
    </row>
    <row r="35" spans="1:33" ht="12.7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(252+16)/1000000</f>
        <v>0.000268</v>
      </c>
      <c r="AE35" s="53">
        <f>AC35*AD35</f>
        <v>0</v>
      </c>
      <c r="AG35" s="32">
        <v>22</v>
      </c>
    </row>
    <row r="36" spans="1:33" ht="12.75">
      <c r="A36" s="54"/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53">
        <f>(252+16)/1000000</f>
        <v>0.000268</v>
      </c>
      <c r="AE36" s="53">
        <f>AC36*AD36</f>
        <v>0</v>
      </c>
      <c r="AG36" s="32">
        <v>22</v>
      </c>
    </row>
    <row r="37" spans="3:33" ht="12.7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  <c r="AG37" s="32">
        <v>22</v>
      </c>
    </row>
    <row r="38" spans="3:31" ht="12.7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31" ht="12.7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v>0.07063000000000001</v>
      </c>
      <c r="AE39" s="53">
        <f>AC39*AD39</f>
        <v>0</v>
      </c>
    </row>
    <row r="40" spans="3:45" ht="12.7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  <c r="AS40" s="54"/>
    </row>
    <row r="41" spans="3:31" ht="12.7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2.7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2.7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2.7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2.7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2.7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B50+D50+F50+H50+J50+L50+N50+P50</f>
        <v>0</v>
      </c>
      <c r="AD50" s="32">
        <f>(693.63/600000)</f>
        <v>0.00115605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0.0061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D52" s="32">
        <v>0.1889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D56" s="32">
        <v>0.005925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31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  <c r="AE59" s="53">
        <f>AC59*AD59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Q61" s="32">
        <f>P61*AD61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O63" s="32">
        <f>N63*AD63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K74" s="32">
        <f>J74*AD74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M79" s="32">
        <f>L79*AD79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G84" s="32">
        <f>F84*AD84</f>
        <v>0</v>
      </c>
      <c r="I84" s="32">
        <f>H84*AD84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E98" s="32">
        <f>D98*AD98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spans="3:29" ht="12.75">
      <c r="C134" s="32">
        <f>B134*AD134</f>
        <v>0</v>
      </c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  <row r="137" ht="12.75">
      <c r="AC137" s="32">
        <f>B137+D137+F137+H137+J137+L137+N137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Y1">
      <selection activeCell="Y3" sqref="Y3"/>
    </sheetView>
  </sheetViews>
  <sheetFormatPr defaultColWidth="11.00390625" defaultRowHeight="14.25"/>
  <cols>
    <col min="1" max="1" width="13.125" style="32" customWidth="1"/>
    <col min="2" max="2" width="9.00390625" style="32" customWidth="1"/>
    <col min="3" max="3" width="11.25390625" style="32" customWidth="1"/>
    <col min="4" max="4" width="13.125" style="32" customWidth="1"/>
    <col min="5" max="6" width="9.875" style="32" customWidth="1"/>
    <col min="7" max="8" width="8.125" style="32" customWidth="1"/>
    <col min="9" max="9" width="10.125" style="32" customWidth="1"/>
    <col min="10" max="10" width="7.50390625" style="32" customWidth="1"/>
    <col min="11" max="12" width="11.00390625" style="32" customWidth="1"/>
    <col min="13" max="13" width="12.875" style="32" customWidth="1"/>
    <col min="14" max="18" width="7.75390625" style="32" customWidth="1"/>
    <col min="19" max="19" width="15.25390625" style="32" customWidth="1"/>
    <col min="20" max="20" width="5.00390625" style="32" customWidth="1"/>
    <col min="21" max="21" width="10.625" style="32" customWidth="1"/>
    <col min="22" max="22" width="6.875" style="32" customWidth="1"/>
    <col min="23" max="23" width="3.25390625" style="32" customWidth="1"/>
    <col min="24" max="24" width="8.375" style="32" customWidth="1"/>
    <col min="25" max="26" width="6.50390625" style="32" customWidth="1"/>
    <col min="27" max="27" width="7.00390625" style="32" customWidth="1"/>
    <col min="28" max="28" width="29.875" style="32" customWidth="1"/>
    <col min="29" max="29" width="15.25390625" style="32" customWidth="1"/>
    <col min="30" max="30" width="8.125" style="32" customWidth="1"/>
    <col min="31" max="31" width="9.00390625" style="53" customWidth="1"/>
    <col min="32" max="32" width="1.4921875" style="32" customWidth="1"/>
    <col min="33" max="33" width="2.75390625" style="32" customWidth="1"/>
    <col min="34" max="34" width="1.875" style="32" customWidth="1"/>
    <col min="35" max="35" width="16.50390625" style="32" customWidth="1"/>
    <col min="36" max="36" width="11.625" style="32" customWidth="1"/>
    <col min="37" max="37" width="1.4921875" style="32" customWidth="1"/>
    <col min="38" max="38" width="16.875" style="32" customWidth="1"/>
    <col min="39" max="39" width="14.25390625" style="32" customWidth="1"/>
    <col min="40" max="40" width="2.00390625" style="32" customWidth="1"/>
    <col min="41" max="41" width="22.125" style="32" customWidth="1"/>
    <col min="42" max="42" width="10.625" style="32" customWidth="1"/>
    <col min="43" max="43" width="2.375" style="32" customWidth="1"/>
    <col min="44" max="44" width="15.125" style="32" customWidth="1"/>
    <col min="45" max="45" width="10.625" style="32" customWidth="1"/>
    <col min="46" max="46" width="2.625" style="32" customWidth="1"/>
    <col min="47" max="47" width="14.625" style="32" customWidth="1"/>
    <col min="48" max="48" width="7.375" style="32" customWidth="1"/>
    <col min="49" max="49" width="10.625" style="32" customWidth="1"/>
    <col min="50" max="50" width="11.875" style="32" customWidth="1"/>
    <col min="51" max="51" width="13.875" style="32" customWidth="1"/>
    <col min="52" max="53" width="10.625" style="32" customWidth="1"/>
    <col min="54" max="54" width="13.50390625" style="32" customWidth="1"/>
    <col min="55" max="16384" width="10.625" style="32" customWidth="1"/>
  </cols>
  <sheetData>
    <row r="1" spans="1:33" ht="14.25">
      <c r="A1" s="54" t="s">
        <v>108</v>
      </c>
      <c r="B1" s="32" t="s">
        <v>109</v>
      </c>
      <c r="C1" s="32" t="s">
        <v>110</v>
      </c>
      <c r="D1" s="32" t="s">
        <v>111</v>
      </c>
      <c r="E1" s="32" t="s">
        <v>112</v>
      </c>
      <c r="F1" s="32" t="s">
        <v>113</v>
      </c>
      <c r="G1" s="32" t="s">
        <v>114</v>
      </c>
      <c r="H1" s="32" t="s">
        <v>115</v>
      </c>
      <c r="I1" s="32" t="s">
        <v>116</v>
      </c>
      <c r="J1" s="32" t="s">
        <v>117</v>
      </c>
      <c r="K1" s="32" t="s">
        <v>118</v>
      </c>
      <c r="L1" s="32" t="s">
        <v>119</v>
      </c>
      <c r="M1" s="32" t="s">
        <v>120</v>
      </c>
      <c r="N1" s="32" t="s">
        <v>56</v>
      </c>
      <c r="O1" s="32" t="s">
        <v>121</v>
      </c>
      <c r="P1" s="32" t="s">
        <v>55</v>
      </c>
      <c r="Q1" s="32" t="s">
        <v>122</v>
      </c>
      <c r="R1" s="32" t="s">
        <v>123</v>
      </c>
      <c r="S1" s="32" t="s">
        <v>124</v>
      </c>
      <c r="T1" s="32" t="s">
        <v>125</v>
      </c>
      <c r="U1" s="32" t="s">
        <v>126</v>
      </c>
      <c r="V1" s="32" t="s">
        <v>127</v>
      </c>
      <c r="W1" s="32" t="s">
        <v>128</v>
      </c>
      <c r="X1" s="32" t="s">
        <v>129</v>
      </c>
      <c r="Y1" s="32" t="s">
        <v>130</v>
      </c>
      <c r="Z1" s="32" t="s">
        <v>131</v>
      </c>
      <c r="AA1" s="32" t="s">
        <v>132</v>
      </c>
      <c r="AC1" s="32" t="s">
        <v>133</v>
      </c>
      <c r="AD1" s="32" t="s">
        <v>134</v>
      </c>
      <c r="AE1" s="55" t="s">
        <v>135</v>
      </c>
      <c r="AG1" s="32" t="s">
        <v>136</v>
      </c>
    </row>
    <row r="2" spans="1:55" ht="14.25">
      <c r="A2" s="56">
        <v>43282</v>
      </c>
      <c r="C2" s="32">
        <f>B2*AD2</f>
        <v>0</v>
      </c>
      <c r="D2" s="32">
        <v>1.87</v>
      </c>
      <c r="E2" s="32">
        <f>D2*AD2</f>
        <v>7.1995000000000005</v>
      </c>
      <c r="F2" s="32">
        <f>2.5+3</f>
        <v>5.5</v>
      </c>
      <c r="G2" s="32">
        <f>F2*AD2</f>
        <v>21.175</v>
      </c>
      <c r="I2" s="32">
        <f>H2*AD2</f>
        <v>0</v>
      </c>
      <c r="K2" s="32">
        <f>J2*AD2</f>
        <v>0</v>
      </c>
      <c r="L2" s="32">
        <v>8.5</v>
      </c>
      <c r="M2" s="32">
        <f>L2*AD2</f>
        <v>32.725</v>
      </c>
      <c r="O2" s="32">
        <f>N2*AD2</f>
        <v>0</v>
      </c>
      <c r="Q2" s="32">
        <f>P2*AD2</f>
        <v>0</v>
      </c>
      <c r="T2" s="32" t="s">
        <v>137</v>
      </c>
      <c r="AB2" s="32" t="s">
        <v>228</v>
      </c>
      <c r="AC2" s="32">
        <f>B2+D2+F2+H2+J2+L2+N2+P2</f>
        <v>15.870000000000001</v>
      </c>
      <c r="AD2" s="53">
        <v>3.85</v>
      </c>
      <c r="AE2" s="53">
        <f>AC2*AD2</f>
        <v>61.099500000000006</v>
      </c>
      <c r="AG2" s="32">
        <v>22</v>
      </c>
      <c r="AI2" s="32" t="s">
        <v>139</v>
      </c>
      <c r="AJ2" s="55">
        <f>SUM($AE$2:$AE$995)</f>
        <v>2732.950450502512</v>
      </c>
      <c r="AL2" s="32" t="s">
        <v>140</v>
      </c>
      <c r="AM2" s="57">
        <f>$AJ$2/$AJ$5</f>
        <v>88.15969195169393</v>
      </c>
      <c r="AO2" s="32" t="s">
        <v>141</v>
      </c>
      <c r="AP2" s="32">
        <f>COUNTBLANK(L2:L41)-COUNTBLANK(A2:A41)</f>
        <v>1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B2" s="35"/>
      <c r="BC2" s="35"/>
    </row>
    <row r="3" spans="1:55" ht="14.25">
      <c r="A3" s="56">
        <v>43283</v>
      </c>
      <c r="B3" s="32">
        <v>32</v>
      </c>
      <c r="C3" s="32">
        <f>B3*AD3</f>
        <v>123.2</v>
      </c>
      <c r="D3" s="32">
        <f>9+1.1</f>
        <v>10.1</v>
      </c>
      <c r="E3" s="32">
        <f>D3*AD3</f>
        <v>38.885</v>
      </c>
      <c r="F3" s="32">
        <v>5</v>
      </c>
      <c r="G3" s="32">
        <f>F3*AD3</f>
        <v>19.25</v>
      </c>
      <c r="I3" s="32">
        <f>H3*AD3</f>
        <v>0</v>
      </c>
      <c r="K3" s="32">
        <f>J3*AD3</f>
        <v>0</v>
      </c>
      <c r="L3" s="32">
        <v>8.5</v>
      </c>
      <c r="M3" s="32">
        <f>L3*AD3</f>
        <v>32.725</v>
      </c>
      <c r="O3" s="32">
        <f>N3*AD3</f>
        <v>0</v>
      </c>
      <c r="Q3" s="32">
        <f>P3*AD3</f>
        <v>0</v>
      </c>
      <c r="T3" s="32" t="s">
        <v>137</v>
      </c>
      <c r="AB3" s="32" t="s">
        <v>229</v>
      </c>
      <c r="AC3" s="32">
        <f>B3+D3+F3+H3+J3+L3+N3+P3</f>
        <v>55.6</v>
      </c>
      <c r="AD3" s="53">
        <v>3.85</v>
      </c>
      <c r="AE3" s="53">
        <f>AC3*AD3</f>
        <v>214.06</v>
      </c>
      <c r="AG3" s="32">
        <v>22</v>
      </c>
      <c r="AI3" s="59"/>
      <c r="AL3" s="59"/>
      <c r="AM3" s="57"/>
      <c r="AO3" s="32" t="s">
        <v>145</v>
      </c>
      <c r="AP3" s="32">
        <f>COUNT(L2:L37)</f>
        <v>30</v>
      </c>
      <c r="AR3" s="58"/>
      <c r="AS3" s="58"/>
      <c r="AT3" s="58"/>
      <c r="AU3" s="58"/>
      <c r="AV3" s="58"/>
      <c r="AW3" s="58"/>
      <c r="AX3" s="58"/>
      <c r="AY3" s="58"/>
      <c r="AZ3" s="58"/>
      <c r="BB3" s="35"/>
      <c r="BC3" s="35"/>
    </row>
    <row r="4" spans="1:55" ht="14.25">
      <c r="A4" s="56">
        <v>43284</v>
      </c>
      <c r="C4" s="32">
        <f>B4*AD4</f>
        <v>0</v>
      </c>
      <c r="D4" s="32">
        <f>1+3000/4000</f>
        <v>1.75</v>
      </c>
      <c r="E4" s="32">
        <f>D4*AD4</f>
        <v>6.7375</v>
      </c>
      <c r="F4" s="32">
        <v>5</v>
      </c>
      <c r="G4" s="32">
        <f>F4*AD4</f>
        <v>19.25</v>
      </c>
      <c r="I4" s="32">
        <f>H4*AD4</f>
        <v>0</v>
      </c>
      <c r="K4" s="32">
        <f>J4*AD4</f>
        <v>0</v>
      </c>
      <c r="L4" s="32">
        <v>8.5</v>
      </c>
      <c r="M4" s="32">
        <f>L4*AD4</f>
        <v>32.725</v>
      </c>
      <c r="O4" s="32">
        <f>N4*AD4</f>
        <v>0</v>
      </c>
      <c r="Q4" s="32">
        <f>P4*AD4</f>
        <v>0</v>
      </c>
      <c r="T4" s="32" t="s">
        <v>137</v>
      </c>
      <c r="AB4" s="32" t="s">
        <v>228</v>
      </c>
      <c r="AC4" s="32">
        <f>B4+D4+F4+H4+J4+L4+N4+P4</f>
        <v>15.25</v>
      </c>
      <c r="AD4" s="53">
        <v>3.85</v>
      </c>
      <c r="AE4" s="53">
        <f>AC4*AD4</f>
        <v>58.7125</v>
      </c>
      <c r="AG4" s="32">
        <v>22</v>
      </c>
      <c r="AO4" s="32" t="s">
        <v>149</v>
      </c>
      <c r="AP4" s="32">
        <f>COUNTA(W2:W50)</f>
        <v>0</v>
      </c>
      <c r="AR4" s="58"/>
      <c r="AS4" s="58"/>
      <c r="AT4" s="58"/>
      <c r="AU4" s="58"/>
      <c r="AV4" s="58"/>
      <c r="AW4" s="58"/>
      <c r="AX4" s="58"/>
      <c r="AY4" s="58"/>
      <c r="AZ4" s="58"/>
      <c r="BB4" s="35"/>
      <c r="BC4" s="35"/>
    </row>
    <row r="5" spans="1:42" ht="14.25">
      <c r="A5" s="56">
        <v>43285</v>
      </c>
      <c r="C5" s="32">
        <f>B5*AD5</f>
        <v>0</v>
      </c>
      <c r="D5" s="4">
        <f>6000/4000+1</f>
        <v>2.5</v>
      </c>
      <c r="E5" s="32">
        <f>D5*AD5</f>
        <v>9.625</v>
      </c>
      <c r="F5" s="32">
        <v>5</v>
      </c>
      <c r="G5" s="32">
        <f>F5*AD5</f>
        <v>19.25</v>
      </c>
      <c r="I5" s="32">
        <f>H5*AD5</f>
        <v>0</v>
      </c>
      <c r="K5" s="32">
        <f>J5*AD5</f>
        <v>0</v>
      </c>
      <c r="M5" s="32">
        <f>L5*AD5</f>
        <v>0</v>
      </c>
      <c r="O5" s="32">
        <f>N5*AD5</f>
        <v>0</v>
      </c>
      <c r="Q5" s="32">
        <f>P5*AD5</f>
        <v>0</v>
      </c>
      <c r="Z5" s="32" t="s">
        <v>137</v>
      </c>
      <c r="AB5" s="32" t="s">
        <v>230</v>
      </c>
      <c r="AC5" s="32">
        <f>B5+D5+F5+H5+J5+L5+N5+P5</f>
        <v>7.5</v>
      </c>
      <c r="AD5" s="53">
        <v>3.85</v>
      </c>
      <c r="AE5" s="53">
        <f>AC5*AD5</f>
        <v>28.875</v>
      </c>
      <c r="AG5" s="32">
        <v>22</v>
      </c>
      <c r="AI5" s="32" t="s">
        <v>153</v>
      </c>
      <c r="AJ5" s="32">
        <f>COUNTA(A2:A350)</f>
        <v>31</v>
      </c>
      <c r="AO5" s="32" t="s">
        <v>154</v>
      </c>
      <c r="AP5" s="32">
        <f>COUNTA(R2:R50)</f>
        <v>0</v>
      </c>
    </row>
    <row r="6" spans="1:42" ht="14.25">
      <c r="A6" s="56">
        <v>43286</v>
      </c>
      <c r="C6" s="32">
        <f>B6*AD6</f>
        <v>0</v>
      </c>
      <c r="D6" s="4">
        <f>1.5+9/4</f>
        <v>3.75</v>
      </c>
      <c r="E6" s="32">
        <f>D6*AD6</f>
        <v>14.4375</v>
      </c>
      <c r="F6" s="32">
        <f>2+3</f>
        <v>5</v>
      </c>
      <c r="G6" s="32">
        <f>F6*AD6</f>
        <v>19.25</v>
      </c>
      <c r="I6" s="32">
        <f>H6*AD6</f>
        <v>0</v>
      </c>
      <c r="K6" s="32">
        <f>J6*AD6</f>
        <v>0</v>
      </c>
      <c r="L6" s="32">
        <v>6.35</v>
      </c>
      <c r="M6" s="32">
        <f>L6*AD6</f>
        <v>24.447499999999998</v>
      </c>
      <c r="O6" s="32">
        <f>N6*AD6</f>
        <v>0</v>
      </c>
      <c r="Q6" s="32">
        <f>P6*AD6</f>
        <v>0</v>
      </c>
      <c r="T6" s="32" t="s">
        <v>137</v>
      </c>
      <c r="AB6" s="32" t="s">
        <v>231</v>
      </c>
      <c r="AC6" s="32">
        <f>B6+D6+F6+H6+J6+L6+N6+P6</f>
        <v>15.1</v>
      </c>
      <c r="AD6" s="53">
        <v>3.85</v>
      </c>
      <c r="AE6" s="53">
        <f>AC6*AD6</f>
        <v>58.135</v>
      </c>
      <c r="AG6" s="32">
        <v>22</v>
      </c>
      <c r="AI6" s="59"/>
      <c r="AO6" s="32" t="s">
        <v>156</v>
      </c>
      <c r="AP6" s="32">
        <f>COUNTA(T2:T50)</f>
        <v>30</v>
      </c>
    </row>
    <row r="7" spans="1:42" ht="14.25">
      <c r="A7" s="56">
        <v>43287</v>
      </c>
      <c r="C7" s="32">
        <f>B7*AD7</f>
        <v>0</v>
      </c>
      <c r="D7" s="32">
        <f>10.32</f>
        <v>10.32</v>
      </c>
      <c r="E7" s="32">
        <f>D7*AD7</f>
        <v>39.732</v>
      </c>
      <c r="F7" s="32">
        <f>3.5+3</f>
        <v>6.5</v>
      </c>
      <c r="G7" s="32">
        <f>F7*AD7</f>
        <v>25.025000000000002</v>
      </c>
      <c r="I7" s="32">
        <f>H7*AD7</f>
        <v>0</v>
      </c>
      <c r="J7" s="32">
        <v>5</v>
      </c>
      <c r="K7" s="32">
        <f>J7*AD7</f>
        <v>19.25</v>
      </c>
      <c r="L7" s="32">
        <v>6.35</v>
      </c>
      <c r="M7" s="32">
        <f>L7*AD7</f>
        <v>24.447499999999998</v>
      </c>
      <c r="O7" s="32">
        <f>N7*AD7</f>
        <v>0</v>
      </c>
      <c r="Q7" s="32">
        <f>P7*AD7</f>
        <v>0</v>
      </c>
      <c r="T7" s="32" t="s">
        <v>137</v>
      </c>
      <c r="AB7" s="32" t="s">
        <v>231</v>
      </c>
      <c r="AC7" s="32">
        <f>B7+D7+F7+H7+J7+L7+N7+P7</f>
        <v>28.17</v>
      </c>
      <c r="AD7" s="53">
        <v>3.85</v>
      </c>
      <c r="AE7" s="53">
        <f>AC7*AD7</f>
        <v>108.45450000000001</v>
      </c>
      <c r="AG7" s="32">
        <v>22</v>
      </c>
      <c r="AL7" s="32" t="s">
        <v>158</v>
      </c>
      <c r="AO7" s="32" t="s">
        <v>126</v>
      </c>
      <c r="AP7" s="32">
        <f>COUNTA(U2:U50)</f>
        <v>0</v>
      </c>
    </row>
    <row r="8" spans="1:42" ht="14.25">
      <c r="A8" s="56">
        <v>43288</v>
      </c>
      <c r="C8" s="32">
        <f>B8*AD8</f>
        <v>0</v>
      </c>
      <c r="D8" s="32">
        <f>2</f>
        <v>2</v>
      </c>
      <c r="E8" s="32">
        <f>D8*AD8</f>
        <v>7.7</v>
      </c>
      <c r="F8" s="32">
        <f>2.5+3</f>
        <v>5.5</v>
      </c>
      <c r="G8" s="32">
        <f>F8*AD8</f>
        <v>21.175</v>
      </c>
      <c r="I8" s="32">
        <f>H8*AD8</f>
        <v>0</v>
      </c>
      <c r="K8" s="32">
        <f>J8*AD8</f>
        <v>0</v>
      </c>
      <c r="L8" s="32">
        <v>6.35</v>
      </c>
      <c r="M8" s="32">
        <f>L8*AD8</f>
        <v>24.447499999999998</v>
      </c>
      <c r="O8" s="32">
        <f>N8*AD8</f>
        <v>0</v>
      </c>
      <c r="Q8" s="32">
        <f>P8*AD8</f>
        <v>0</v>
      </c>
      <c r="T8" s="32" t="s">
        <v>137</v>
      </c>
      <c r="AB8" s="32" t="s">
        <v>231</v>
      </c>
      <c r="AC8" s="32">
        <f>B8+D8+F8+H8+J8+L8+N8+P8</f>
        <v>13.85</v>
      </c>
      <c r="AD8" s="53">
        <v>3.85</v>
      </c>
      <c r="AE8" s="53">
        <f>AC8*AD8</f>
        <v>53.3225</v>
      </c>
      <c r="AG8" s="32">
        <v>22</v>
      </c>
      <c r="AI8" s="32" t="s">
        <v>160</v>
      </c>
      <c r="AJ8" s="55">
        <f>SUM(M2:M995)</f>
        <v>876.3258819095481</v>
      </c>
      <c r="AL8" s="32" t="s">
        <v>119</v>
      </c>
      <c r="AM8" s="55">
        <f>AJ8/$AJ$5</f>
        <v>28.268576835791876</v>
      </c>
      <c r="AO8" s="32" t="s">
        <v>161</v>
      </c>
      <c r="AP8" s="32">
        <f>COUNTA(S2:S50)</f>
        <v>0</v>
      </c>
    </row>
    <row r="9" spans="1:42" ht="14.25">
      <c r="A9" s="56">
        <v>43289</v>
      </c>
      <c r="B9" s="1"/>
      <c r="C9" s="32">
        <f>B9*AD9</f>
        <v>0</v>
      </c>
      <c r="D9" s="32">
        <f>1.85+2</f>
        <v>3.85</v>
      </c>
      <c r="E9" s="32">
        <f>D9*AD9</f>
        <v>14.822500000000002</v>
      </c>
      <c r="F9" s="32">
        <f>14000/4000+2.75</f>
        <v>6.25</v>
      </c>
      <c r="G9" s="32">
        <f>F9*AD9</f>
        <v>24.0625</v>
      </c>
      <c r="I9" s="32">
        <f>H9*AD9</f>
        <v>0</v>
      </c>
      <c r="K9" s="32">
        <f>J9*AD9</f>
        <v>0</v>
      </c>
      <c r="L9" s="32">
        <v>6.35</v>
      </c>
      <c r="M9" s="32">
        <f>L9*AD9</f>
        <v>24.447499999999998</v>
      </c>
      <c r="O9" s="32">
        <f>N9*AD9</f>
        <v>0</v>
      </c>
      <c r="Q9" s="32">
        <f>P9*AD9</f>
        <v>0</v>
      </c>
      <c r="T9" s="32" t="s">
        <v>137</v>
      </c>
      <c r="AB9" s="32" t="s">
        <v>231</v>
      </c>
      <c r="AC9" s="32">
        <f>B9+D9+F9+H9+J9+L9+N9+P9</f>
        <v>16.45</v>
      </c>
      <c r="AD9" s="53">
        <v>3.85</v>
      </c>
      <c r="AE9" s="53">
        <f>AC9*AD9</f>
        <v>63.332499999999996</v>
      </c>
      <c r="AG9" s="32">
        <v>22</v>
      </c>
      <c r="AI9" s="32" t="s">
        <v>163</v>
      </c>
      <c r="AJ9" s="55">
        <f>SUM(C2:C995)</f>
        <v>312.9627798994975</v>
      </c>
      <c r="AL9" s="32" t="s">
        <v>109</v>
      </c>
      <c r="AM9" s="55">
        <f>AJ9/$AJ$5</f>
        <v>10.095573545145081</v>
      </c>
      <c r="AO9" s="32" t="s">
        <v>127</v>
      </c>
      <c r="AP9" s="32">
        <f>COUNTA(V2:V51)</f>
        <v>0</v>
      </c>
    </row>
    <row r="10" spans="1:42" ht="14.25">
      <c r="A10" s="56">
        <v>43290</v>
      </c>
      <c r="C10" s="32">
        <f>B10*AD10</f>
        <v>0</v>
      </c>
      <c r="D10" s="32">
        <f>7.5+3</f>
        <v>10.5</v>
      </c>
      <c r="E10" s="32">
        <f>D10*AD10</f>
        <v>40.425000000000004</v>
      </c>
      <c r="F10" s="32">
        <f>6</f>
        <v>6</v>
      </c>
      <c r="G10" s="32">
        <f>F10*AD10</f>
        <v>23.1</v>
      </c>
      <c r="I10" s="32">
        <f>H10*AD10</f>
        <v>0</v>
      </c>
      <c r="K10" s="32">
        <f>J10*AD10</f>
        <v>0</v>
      </c>
      <c r="L10" s="32">
        <v>6.35</v>
      </c>
      <c r="M10" s="32">
        <f>L10*AD10</f>
        <v>24.447499999999998</v>
      </c>
      <c r="O10" s="32">
        <f>N10*AD10</f>
        <v>0</v>
      </c>
      <c r="Q10" s="32">
        <f>P10*AD10</f>
        <v>0</v>
      </c>
      <c r="T10" s="32" t="s">
        <v>137</v>
      </c>
      <c r="AB10" s="32" t="s">
        <v>231</v>
      </c>
      <c r="AC10" s="32">
        <f>B10+D10+F10+H10+J10+L10+N10+P10</f>
        <v>22.85</v>
      </c>
      <c r="AD10" s="53">
        <v>3.85</v>
      </c>
      <c r="AE10" s="53">
        <f>AC10*AD10</f>
        <v>87.97250000000001</v>
      </c>
      <c r="AG10" s="32">
        <v>22</v>
      </c>
      <c r="AI10" s="32" t="s">
        <v>164</v>
      </c>
      <c r="AJ10" s="55">
        <f>SUM(E2:E995)</f>
        <v>504.21155100502506</v>
      </c>
      <c r="AL10" s="32" t="s">
        <v>51</v>
      </c>
      <c r="AM10" s="55">
        <f>AJ10/$AJ$5</f>
        <v>16.264888742097583</v>
      </c>
      <c r="AO10" s="32" t="s">
        <v>130</v>
      </c>
      <c r="AP10" s="32">
        <f>COUNTA(Y2:Y52)</f>
        <v>0</v>
      </c>
    </row>
    <row r="11" spans="1:42" ht="14.25">
      <c r="A11" s="56">
        <v>43291</v>
      </c>
      <c r="B11" s="32">
        <f>4</f>
        <v>4</v>
      </c>
      <c r="C11" s="32">
        <f>B11*AD11</f>
        <v>15.4</v>
      </c>
      <c r="D11" s="32">
        <f>1+1.5</f>
        <v>2.5</v>
      </c>
      <c r="E11" s="32">
        <f>D11*AD11</f>
        <v>9.625</v>
      </c>
      <c r="F11" s="32">
        <f>3.5</f>
        <v>3.5</v>
      </c>
      <c r="G11" s="32">
        <f>F11*AD11</f>
        <v>13.475</v>
      </c>
      <c r="H11" s="32">
        <f>37*2</f>
        <v>74</v>
      </c>
      <c r="I11" s="32">
        <f>H11*AD11</f>
        <v>284.90000000000003</v>
      </c>
      <c r="K11" s="32">
        <f>J11*AD11</f>
        <v>0</v>
      </c>
      <c r="L11" s="32">
        <v>6.35</v>
      </c>
      <c r="M11" s="32">
        <f>L11*AD11</f>
        <v>24.447499999999998</v>
      </c>
      <c r="O11" s="32">
        <f>N11*AD11</f>
        <v>0</v>
      </c>
      <c r="Q11" s="32">
        <f>P11*AD11</f>
        <v>0</v>
      </c>
      <c r="T11" s="32" t="s">
        <v>137</v>
      </c>
      <c r="AB11" s="60" t="s">
        <v>231</v>
      </c>
      <c r="AC11" s="32">
        <f>B11+D11+F11+H11+J11+L11+N11+P11</f>
        <v>90.35</v>
      </c>
      <c r="AD11" s="53">
        <v>3.85</v>
      </c>
      <c r="AE11" s="53">
        <f>AC11*AD11</f>
        <v>347.84749999999997</v>
      </c>
      <c r="AG11" s="32">
        <v>22</v>
      </c>
      <c r="AI11" s="32" t="s">
        <v>165</v>
      </c>
      <c r="AJ11" s="55">
        <f>SUM(G2:G995)</f>
        <v>671.7915582914571</v>
      </c>
      <c r="AL11" s="32" t="s">
        <v>166</v>
      </c>
      <c r="AM11" s="55">
        <f>AJ11/$AJ$5</f>
        <v>21.67069542875668</v>
      </c>
      <c r="AO11" s="32" t="s">
        <v>167</v>
      </c>
      <c r="AP11" s="32">
        <f>COUNTA(Z2:Z53)</f>
        <v>1</v>
      </c>
    </row>
    <row r="12" spans="1:39" ht="14.25">
      <c r="A12" s="56">
        <v>43292</v>
      </c>
      <c r="B12" s="32">
        <v>10</v>
      </c>
      <c r="C12" s="32">
        <f>B12*AD12</f>
        <v>38.5</v>
      </c>
      <c r="D12" s="32">
        <f>1.5+1.2</f>
        <v>2.7</v>
      </c>
      <c r="E12" s="32">
        <f>D12*AD12</f>
        <v>10.395000000000001</v>
      </c>
      <c r="F12" s="32">
        <f>3+2.5</f>
        <v>5.5</v>
      </c>
      <c r="G12" s="32">
        <f>F12*AD12</f>
        <v>21.175</v>
      </c>
      <c r="I12" s="32">
        <f>H12*AD12</f>
        <v>0</v>
      </c>
      <c r="K12" s="32">
        <f>J12*AD12</f>
        <v>0</v>
      </c>
      <c r="L12" s="32">
        <v>6.35</v>
      </c>
      <c r="M12" s="32">
        <f>L12*AD12</f>
        <v>24.447499999999998</v>
      </c>
      <c r="O12" s="32">
        <f>N12*AD12</f>
        <v>0</v>
      </c>
      <c r="Q12" s="32">
        <f>P12*AD12</f>
        <v>0</v>
      </c>
      <c r="T12" s="32" t="s">
        <v>137</v>
      </c>
      <c r="AB12" s="60" t="s">
        <v>231</v>
      </c>
      <c r="AC12" s="32">
        <f>B12+D12+F12+H12+J12+L12+N12+P12</f>
        <v>24.549999999999997</v>
      </c>
      <c r="AD12" s="53">
        <v>3.85</v>
      </c>
      <c r="AE12" s="53">
        <f>AC12*AD12</f>
        <v>94.5175</v>
      </c>
      <c r="AG12" s="32">
        <v>22</v>
      </c>
      <c r="AI12" s="32" t="s">
        <v>168</v>
      </c>
      <c r="AJ12" s="55">
        <f>SUM(K2:K995)</f>
        <v>41.50304120603015</v>
      </c>
      <c r="AL12" s="32" t="s">
        <v>117</v>
      </c>
      <c r="AM12" s="55">
        <f>AJ12/$AJ$5</f>
        <v>1.338807780839682</v>
      </c>
    </row>
    <row r="13" spans="1:39" ht="14.25">
      <c r="A13" s="56">
        <v>43293</v>
      </c>
      <c r="B13" s="1">
        <v>1</v>
      </c>
      <c r="C13" s="32">
        <f>B13*AD13</f>
        <v>3.85</v>
      </c>
      <c r="D13" s="32">
        <f>1.35+2.14+5500/4000</f>
        <v>4.865</v>
      </c>
      <c r="E13" s="32">
        <f>D13*AD13</f>
        <v>18.73025</v>
      </c>
      <c r="F13" s="32">
        <f>3.5</f>
        <v>3.5</v>
      </c>
      <c r="G13" s="32">
        <f>F13*AD13</f>
        <v>13.475</v>
      </c>
      <c r="I13" s="32">
        <f>H13*AD13</f>
        <v>0</v>
      </c>
      <c r="K13" s="32">
        <f>J13*AD13</f>
        <v>0</v>
      </c>
      <c r="L13" s="32">
        <v>4.55</v>
      </c>
      <c r="M13" s="32">
        <f>L13*AD13</f>
        <v>17.5175</v>
      </c>
      <c r="O13" s="32">
        <f>N13*AD13</f>
        <v>0</v>
      </c>
      <c r="Q13" s="32">
        <f>P13*AD13</f>
        <v>0</v>
      </c>
      <c r="T13" s="32" t="s">
        <v>137</v>
      </c>
      <c r="AB13" s="60" t="s">
        <v>232</v>
      </c>
      <c r="AC13" s="32">
        <f>B13+D13+F13+H13+J13+L13+N13+P13</f>
        <v>13.915</v>
      </c>
      <c r="AD13" s="53">
        <v>3.85</v>
      </c>
      <c r="AE13" s="53">
        <f>AC13*AD13</f>
        <v>53.57275</v>
      </c>
      <c r="AG13" s="32">
        <v>22</v>
      </c>
      <c r="AI13" s="32" t="s">
        <v>169</v>
      </c>
      <c r="AJ13" s="55">
        <f>SUM(I2:I995)</f>
        <v>326.1556381909548</v>
      </c>
      <c r="AL13" s="32" t="s">
        <v>115</v>
      </c>
      <c r="AM13" s="55">
        <f>AJ13/$AJ$5</f>
        <v>10.521149619063058</v>
      </c>
    </row>
    <row r="14" spans="1:36" ht="14.25">
      <c r="A14" s="56">
        <v>43294</v>
      </c>
      <c r="C14" s="32">
        <f>B14*AD14</f>
        <v>0</v>
      </c>
      <c r="D14" s="32">
        <f>16100/4000+2.3+3000/4000</f>
        <v>7.075</v>
      </c>
      <c r="E14" s="32">
        <f>D14*AD14</f>
        <v>27.23875</v>
      </c>
      <c r="F14" s="32">
        <v>3.5</v>
      </c>
      <c r="G14" s="32">
        <f>F14*AD14</f>
        <v>13.475</v>
      </c>
      <c r="I14" s="32">
        <f>H14*AD14</f>
        <v>0</v>
      </c>
      <c r="K14" s="32">
        <f>J14*AD14</f>
        <v>0</v>
      </c>
      <c r="L14" s="32">
        <v>4.55</v>
      </c>
      <c r="M14" s="32">
        <f>L14*AD14</f>
        <v>17.5175</v>
      </c>
      <c r="O14" s="32">
        <f>N14*AD14</f>
        <v>0</v>
      </c>
      <c r="Q14" s="32">
        <f>P14*AD14</f>
        <v>0</v>
      </c>
      <c r="T14" s="32" t="s">
        <v>137</v>
      </c>
      <c r="AB14" s="60" t="s">
        <v>233</v>
      </c>
      <c r="AC14" s="32">
        <f>B14+D14+F14+H14+J14+L14+N14+P14</f>
        <v>15.125</v>
      </c>
      <c r="AD14" s="53">
        <v>3.85</v>
      </c>
      <c r="AE14" s="53">
        <f>AC14*AD14</f>
        <v>58.23125</v>
      </c>
      <c r="AG14" s="32">
        <v>22</v>
      </c>
      <c r="AI14" s="32" t="s">
        <v>171</v>
      </c>
      <c r="AJ14" s="55">
        <f>SUM(O2:O995)</f>
        <v>0</v>
      </c>
    </row>
    <row r="15" spans="1:36" ht="14.25">
      <c r="A15" s="56">
        <v>43295</v>
      </c>
      <c r="C15" s="32">
        <f>B15*AD15</f>
        <v>0</v>
      </c>
      <c r="D15" s="32">
        <f>1.5+2.45+2.55</f>
        <v>6.5</v>
      </c>
      <c r="E15" s="32">
        <f>D15*AD15</f>
        <v>25.025000000000002</v>
      </c>
      <c r="F15" s="32">
        <v>3.5</v>
      </c>
      <c r="G15" s="32">
        <f>F15*AD15</f>
        <v>13.475</v>
      </c>
      <c r="I15" s="32">
        <f>H15*AD15</f>
        <v>0</v>
      </c>
      <c r="K15" s="32">
        <f>J15*AD15</f>
        <v>0</v>
      </c>
      <c r="L15" s="32">
        <v>4.55</v>
      </c>
      <c r="M15" s="32">
        <f>L15*AD15</f>
        <v>17.5175</v>
      </c>
      <c r="O15" s="32">
        <f>N15*AD15</f>
        <v>0</v>
      </c>
      <c r="Q15" s="32">
        <f>P15*AD15</f>
        <v>0</v>
      </c>
      <c r="T15" s="32" t="s">
        <v>137</v>
      </c>
      <c r="AB15" s="60" t="s">
        <v>233</v>
      </c>
      <c r="AC15" s="32">
        <f>B15+D15+F15+H15+J15+L15+N15+P15</f>
        <v>14.55</v>
      </c>
      <c r="AD15" s="53">
        <v>3.85</v>
      </c>
      <c r="AE15" s="53">
        <f>AC15*AD15</f>
        <v>56.017500000000005</v>
      </c>
      <c r="AG15" s="32">
        <v>22</v>
      </c>
      <c r="AI15" s="32" t="s">
        <v>173</v>
      </c>
      <c r="AJ15" s="32">
        <f>SUM(Q2:Q61)</f>
        <v>0</v>
      </c>
    </row>
    <row r="16" spans="1:35" ht="14.25">
      <c r="A16" s="56">
        <v>43296</v>
      </c>
      <c r="B16" s="32">
        <v>10</v>
      </c>
      <c r="C16" s="32">
        <f>B16*AD16</f>
        <v>38.5</v>
      </c>
      <c r="D16" s="32">
        <f>(10000+11700)/10000</f>
        <v>2.17</v>
      </c>
      <c r="E16" s="32">
        <f>D16*AD16</f>
        <v>8.3545</v>
      </c>
      <c r="F16" s="32">
        <v>2.5</v>
      </c>
      <c r="G16" s="32">
        <f>F16*AD16</f>
        <v>9.625</v>
      </c>
      <c r="I16" s="32">
        <f>H16*AD16</f>
        <v>0</v>
      </c>
      <c r="K16" s="32">
        <f>J16*AD16</f>
        <v>0</v>
      </c>
      <c r="L16" s="32">
        <v>4.55</v>
      </c>
      <c r="M16" s="32">
        <f>L16*AD16</f>
        <v>17.5175</v>
      </c>
      <c r="O16" s="32">
        <f>N16*AD16</f>
        <v>0</v>
      </c>
      <c r="Q16" s="32">
        <f>P16*AD16</f>
        <v>0</v>
      </c>
      <c r="T16" s="32" t="s">
        <v>137</v>
      </c>
      <c r="AB16" s="60" t="s">
        <v>233</v>
      </c>
      <c r="AC16" s="32">
        <f>B16+D16+F16+H16+J16+L16+N16+P16</f>
        <v>19.22</v>
      </c>
      <c r="AD16" s="53">
        <v>3.85</v>
      </c>
      <c r="AE16" s="53">
        <f>AC16*AD16</f>
        <v>73.997</v>
      </c>
      <c r="AG16" s="32">
        <v>22</v>
      </c>
      <c r="AI16" s="59"/>
    </row>
    <row r="17" spans="1:44" ht="14.25">
      <c r="A17" s="56">
        <v>43297</v>
      </c>
      <c r="C17" s="32">
        <f>B17*AD17</f>
        <v>0</v>
      </c>
      <c r="D17" s="32">
        <f>3700/4000</f>
        <v>0.925</v>
      </c>
      <c r="E17" s="32">
        <f>D17*AD17</f>
        <v>3.5612500000000002</v>
      </c>
      <c r="G17" s="32">
        <f>F17*AD17</f>
        <v>0</v>
      </c>
      <c r="I17" s="32">
        <f>H17*AD17</f>
        <v>0</v>
      </c>
      <c r="K17" s="32">
        <f>J17*AD17</f>
        <v>0</v>
      </c>
      <c r="M17" s="32">
        <f>L17*AD17</f>
        <v>0</v>
      </c>
      <c r="O17" s="32">
        <f>N17*AD17</f>
        <v>0</v>
      </c>
      <c r="Q17" s="32">
        <f>P17*AD17</f>
        <v>0</v>
      </c>
      <c r="AB17" s="60" t="s">
        <v>234</v>
      </c>
      <c r="AC17" s="32">
        <f>B17+D17+F17+H17+J17+L17+N17+P17</f>
        <v>0.925</v>
      </c>
      <c r="AD17" s="53">
        <v>3.85</v>
      </c>
      <c r="AE17" s="53">
        <f>AC17*AD17</f>
        <v>3.5612500000000002</v>
      </c>
      <c r="AG17" s="32">
        <v>22</v>
      </c>
      <c r="AR17" s="54"/>
    </row>
    <row r="18" spans="1:44" ht="14.25">
      <c r="A18" s="56"/>
      <c r="B18" s="32">
        <f>100+48*2+120</f>
        <v>316</v>
      </c>
      <c r="C18" s="32">
        <f>B18*AD18</f>
        <v>39.50539899497487</v>
      </c>
      <c r="D18" s="32">
        <v>90</v>
      </c>
      <c r="E18" s="32">
        <f>D18*AD18</f>
        <v>11.251537688442209</v>
      </c>
      <c r="F18" s="32">
        <f>20*3+100</f>
        <v>160</v>
      </c>
      <c r="G18" s="32">
        <f>F18*AD18</f>
        <v>20.002733668341705</v>
      </c>
      <c r="I18" s="32">
        <f>H18*AD18</f>
        <v>0</v>
      </c>
      <c r="K18" s="32">
        <f>J18*AD18</f>
        <v>0</v>
      </c>
      <c r="L18" s="32">
        <v>275</v>
      </c>
      <c r="M18" s="32">
        <f>L18*AD18</f>
        <v>34.3796984924623</v>
      </c>
      <c r="O18" s="32">
        <f>N18*AD18</f>
        <v>0</v>
      </c>
      <c r="Q18" s="32">
        <f>P18*AD18</f>
        <v>0</v>
      </c>
      <c r="T18" s="32" t="s">
        <v>137</v>
      </c>
      <c r="AB18" s="60"/>
      <c r="AC18" s="32">
        <f>B18+D18+F18+H18+J18+L18+N18+P18</f>
        <v>841</v>
      </c>
      <c r="AD18" s="53">
        <f>(1169.32+74.6)/9950</f>
        <v>0.12501708542713566</v>
      </c>
      <c r="AE18" s="53">
        <f>AC18*AD18</f>
        <v>105.1393688442211</v>
      </c>
      <c r="AG18" s="32">
        <v>23</v>
      </c>
      <c r="AI18" s="32" t="s">
        <v>177</v>
      </c>
      <c r="AJ18" s="32">
        <f>SUM(AA2:AA51)</f>
        <v>0</v>
      </c>
      <c r="AR18" s="54"/>
    </row>
    <row r="19" spans="1:33" ht="14.25">
      <c r="A19" s="56">
        <v>43298</v>
      </c>
      <c r="C19" s="32">
        <f>B19*AD19</f>
        <v>0</v>
      </c>
      <c r="D19" s="32">
        <f>341</f>
        <v>341</v>
      </c>
      <c r="E19" s="32">
        <f>D19*AD19</f>
        <v>42.63082613065326</v>
      </c>
      <c r="F19" s="32">
        <f>100+80</f>
        <v>180</v>
      </c>
      <c r="G19" s="32">
        <f>F19*AD19</f>
        <v>22.503075376884418</v>
      </c>
      <c r="I19" s="32">
        <f>H19*AD19</f>
        <v>0</v>
      </c>
      <c r="K19" s="32">
        <f>J19*AD19</f>
        <v>0</v>
      </c>
      <c r="L19" s="32">
        <v>250</v>
      </c>
      <c r="M19" s="32">
        <f>L19*AD19</f>
        <v>31.254271356783914</v>
      </c>
      <c r="O19" s="32">
        <f>N19*AD19</f>
        <v>0</v>
      </c>
      <c r="Q19" s="32">
        <f>P19*AD19</f>
        <v>0</v>
      </c>
      <c r="T19" s="32" t="s">
        <v>137</v>
      </c>
      <c r="AB19" s="60" t="s">
        <v>235</v>
      </c>
      <c r="AC19" s="32">
        <f>B19+D19+F19+H19+J19+L19+N19+P19</f>
        <v>771</v>
      </c>
      <c r="AD19" s="53">
        <f>(1169.32+74.6)/9950</f>
        <v>0.12501708542713566</v>
      </c>
      <c r="AE19" s="53">
        <f>AC19*AD19</f>
        <v>96.38817286432159</v>
      </c>
      <c r="AG19" s="32">
        <v>23</v>
      </c>
    </row>
    <row r="20" spans="1:33" ht="14.25">
      <c r="A20" s="56">
        <v>43299</v>
      </c>
      <c r="C20" s="32">
        <f>B20*AD20</f>
        <v>0</v>
      </c>
      <c r="D20" s="32">
        <f>64+46</f>
        <v>110</v>
      </c>
      <c r="E20" s="32">
        <f>D20*AD20</f>
        <v>13.751879396984922</v>
      </c>
      <c r="F20" s="32">
        <f>100+80</f>
        <v>180</v>
      </c>
      <c r="G20" s="32">
        <f>F20*AD20</f>
        <v>22.503075376884418</v>
      </c>
      <c r="I20" s="32">
        <f>H20*AD20</f>
        <v>0</v>
      </c>
      <c r="K20" s="32">
        <f>J20*AD20</f>
        <v>0</v>
      </c>
      <c r="L20" s="32">
        <v>250</v>
      </c>
      <c r="M20" s="32">
        <f>L20*AD20</f>
        <v>31.254271356783914</v>
      </c>
      <c r="O20" s="32">
        <f>N20*AD20</f>
        <v>0</v>
      </c>
      <c r="Q20" s="32">
        <f>P20*AD20</f>
        <v>0</v>
      </c>
      <c r="T20" s="32" t="s">
        <v>137</v>
      </c>
      <c r="AB20" s="60" t="s">
        <v>235</v>
      </c>
      <c r="AC20" s="32">
        <f>B20+D20+F20+H20+J20+L20+N20+P20</f>
        <v>540</v>
      </c>
      <c r="AD20" s="53">
        <f>(1169.32+74.6)/9950</f>
        <v>0.12501708542713566</v>
      </c>
      <c r="AE20" s="53">
        <f>AC20*AD20</f>
        <v>67.50922613065326</v>
      </c>
      <c r="AG20" s="32">
        <v>23</v>
      </c>
    </row>
    <row r="21" spans="1:33" ht="14.25">
      <c r="A21" s="56">
        <v>43300</v>
      </c>
      <c r="C21" s="32">
        <f>B21*AD21</f>
        <v>0</v>
      </c>
      <c r="D21" s="32">
        <f>64+10</f>
        <v>74</v>
      </c>
      <c r="E21" s="32">
        <f>D21*AD21</f>
        <v>9.251264321608039</v>
      </c>
      <c r="F21" s="32">
        <f>190</f>
        <v>190</v>
      </c>
      <c r="G21" s="32">
        <f>F21*AD21</f>
        <v>23.753246231155774</v>
      </c>
      <c r="H21" s="32">
        <v>200</v>
      </c>
      <c r="I21" s="32">
        <f>H21*AD21</f>
        <v>25.00341708542713</v>
      </c>
      <c r="K21" s="32">
        <f>J21*AD21</f>
        <v>0</v>
      </c>
      <c r="L21" s="32">
        <v>250</v>
      </c>
      <c r="M21" s="32">
        <f>L21*AD21</f>
        <v>31.254271356783914</v>
      </c>
      <c r="O21" s="32">
        <f>N21*AD21</f>
        <v>0</v>
      </c>
      <c r="Q21" s="32">
        <f>P21*AD21</f>
        <v>0</v>
      </c>
      <c r="T21" s="32" t="s">
        <v>137</v>
      </c>
      <c r="AB21" s="60" t="s">
        <v>235</v>
      </c>
      <c r="AC21" s="32">
        <f>B21+D21+F21+H21+J21+L21+N21+P21</f>
        <v>714</v>
      </c>
      <c r="AD21" s="53">
        <f>(1169.32+74.6)/9950</f>
        <v>0.12501708542713566</v>
      </c>
      <c r="AE21" s="53">
        <f>AC21*AD21</f>
        <v>89.26219899497487</v>
      </c>
      <c r="AG21" s="32">
        <v>23</v>
      </c>
    </row>
    <row r="22" spans="1:33" ht="14.25">
      <c r="A22" s="56">
        <v>43301</v>
      </c>
      <c r="B22" s="32">
        <v>30</v>
      </c>
      <c r="C22" s="32">
        <f>B22*AD22</f>
        <v>3.7505125628140696</v>
      </c>
      <c r="D22" s="32">
        <f>63+74</f>
        <v>137</v>
      </c>
      <c r="E22" s="32">
        <f>D22*AD22</f>
        <v>17.127340703517586</v>
      </c>
      <c r="F22" s="32">
        <f>150+90</f>
        <v>240</v>
      </c>
      <c r="G22" s="32">
        <f>F22*AD22</f>
        <v>30.004100502512557</v>
      </c>
      <c r="H22" s="32">
        <f>40*2</f>
        <v>80</v>
      </c>
      <c r="I22" s="32">
        <f>H22*AD22</f>
        <v>10.001366834170852</v>
      </c>
      <c r="J22" s="32">
        <v>10</v>
      </c>
      <c r="K22" s="32">
        <f>J22*AD22</f>
        <v>1.2501708542713565</v>
      </c>
      <c r="L22" s="32">
        <v>275</v>
      </c>
      <c r="M22" s="32">
        <f>L22*AD22</f>
        <v>34.3796984924623</v>
      </c>
      <c r="O22" s="32">
        <f>N22*AD22</f>
        <v>0</v>
      </c>
      <c r="Q22" s="32">
        <f>P22*AD22</f>
        <v>0</v>
      </c>
      <c r="T22" s="32" t="s">
        <v>137</v>
      </c>
      <c r="AB22" s="60" t="s">
        <v>235</v>
      </c>
      <c r="AC22" s="32">
        <f>B22+D22+F22+H22+J22+L22+N22+P22</f>
        <v>772</v>
      </c>
      <c r="AD22" s="53">
        <f>(1169.32+74.6)/9950</f>
        <v>0.12501708542713566</v>
      </c>
      <c r="AE22" s="53">
        <f>AC22*AD22</f>
        <v>96.51318994974874</v>
      </c>
      <c r="AG22" s="32">
        <v>23</v>
      </c>
    </row>
    <row r="23" spans="1:33" ht="14.25">
      <c r="A23" s="56">
        <v>43302</v>
      </c>
      <c r="B23" s="32">
        <f>13*4+7*4</f>
        <v>80</v>
      </c>
      <c r="C23" s="32">
        <f>B23*AD23</f>
        <v>10.001366834170852</v>
      </c>
      <c r="D23" s="32">
        <f>40+20</f>
        <v>60</v>
      </c>
      <c r="E23" s="32">
        <f>D23*AD23</f>
        <v>7.501025125628139</v>
      </c>
      <c r="F23" s="32">
        <f>160+20+100</f>
        <v>280</v>
      </c>
      <c r="G23" s="32">
        <f>F23*AD23</f>
        <v>35.00478391959798</v>
      </c>
      <c r="H23" s="32">
        <v>50</v>
      </c>
      <c r="I23" s="32">
        <f>H23*AD23</f>
        <v>6.250854271356783</v>
      </c>
      <c r="K23" s="32">
        <f>J23*AD23</f>
        <v>0</v>
      </c>
      <c r="L23" s="32">
        <v>275</v>
      </c>
      <c r="M23" s="32">
        <f>L23*AD23</f>
        <v>34.3796984924623</v>
      </c>
      <c r="O23" s="32">
        <f>N23*AD23</f>
        <v>0</v>
      </c>
      <c r="Q23" s="32">
        <f>P23*AD23</f>
        <v>0</v>
      </c>
      <c r="T23" s="32" t="s">
        <v>137</v>
      </c>
      <c r="AB23" s="60" t="s">
        <v>235</v>
      </c>
      <c r="AC23" s="32">
        <f>B23+D23+F23+H23+J23+L23+N23+P23</f>
        <v>745</v>
      </c>
      <c r="AD23" s="53">
        <f>(1169.32+74.6)/9950</f>
        <v>0.12501708542713566</v>
      </c>
      <c r="AE23" s="53">
        <f>AC23*AD23</f>
        <v>93.13772864321606</v>
      </c>
      <c r="AG23" s="32">
        <v>23</v>
      </c>
    </row>
    <row r="24" spans="1:33" ht="14.25">
      <c r="A24" s="56">
        <v>43303</v>
      </c>
      <c r="C24" s="32">
        <f>B24*AD24</f>
        <v>0</v>
      </c>
      <c r="E24" s="32">
        <f>D24*AD24</f>
        <v>0</v>
      </c>
      <c r="F24" s="32">
        <f>190</f>
        <v>190</v>
      </c>
      <c r="G24" s="32">
        <f>F24*AD24</f>
        <v>23.753246231155774</v>
      </c>
      <c r="I24" s="32">
        <f>H24*AD24</f>
        <v>0</v>
      </c>
      <c r="J24" s="32">
        <v>10</v>
      </c>
      <c r="K24" s="32">
        <f>J24*AD24</f>
        <v>1.2501708542713565</v>
      </c>
      <c r="L24" s="32">
        <v>275</v>
      </c>
      <c r="M24" s="32">
        <f>L24*AD24</f>
        <v>34.3796984924623</v>
      </c>
      <c r="O24" s="32">
        <f>N24*AD24</f>
        <v>0</v>
      </c>
      <c r="Q24" s="32">
        <f>P24*AD24</f>
        <v>0</v>
      </c>
      <c r="T24" s="32" t="s">
        <v>137</v>
      </c>
      <c r="AB24" s="60" t="s">
        <v>235</v>
      </c>
      <c r="AC24" s="32">
        <f>B24+D24+F24+H24+J24+L24+N24+P24</f>
        <v>475</v>
      </c>
      <c r="AD24" s="53">
        <f>(1169.32+74.6)/9950</f>
        <v>0.12501708542713566</v>
      </c>
      <c r="AE24" s="53">
        <f>AC24*AD24</f>
        <v>59.38311557788944</v>
      </c>
      <c r="AG24" s="32">
        <v>23</v>
      </c>
    </row>
    <row r="25" spans="1:33" ht="14.25">
      <c r="A25" s="56">
        <v>43304</v>
      </c>
      <c r="B25" s="32">
        <f>13*4</f>
        <v>52</v>
      </c>
      <c r="C25" s="32">
        <f>B25*AD25</f>
        <v>6.500888442211054</v>
      </c>
      <c r="D25" s="32">
        <v>379</v>
      </c>
      <c r="E25" s="32">
        <f>D25*AD25</f>
        <v>47.38147537688442</v>
      </c>
      <c r="F25" s="32">
        <f>64+100</f>
        <v>164</v>
      </c>
      <c r="G25" s="32">
        <f>F25*AD25</f>
        <v>20.50280201005025</v>
      </c>
      <c r="I25" s="32">
        <f>H25*AD25</f>
        <v>0</v>
      </c>
      <c r="J25" s="32">
        <v>10</v>
      </c>
      <c r="K25" s="32">
        <f>J25*AD25</f>
        <v>1.2501708542713565</v>
      </c>
      <c r="L25" s="32">
        <v>275</v>
      </c>
      <c r="M25" s="32">
        <f>L25*AD25</f>
        <v>34.3796984924623</v>
      </c>
      <c r="O25" s="32">
        <f>N25*AD25</f>
        <v>0</v>
      </c>
      <c r="Q25" s="32">
        <f>P25*AD25</f>
        <v>0</v>
      </c>
      <c r="T25" s="32" t="s">
        <v>137</v>
      </c>
      <c r="AB25" s="60" t="s">
        <v>235</v>
      </c>
      <c r="AC25" s="32">
        <f>B25+D25+F25+H25+J25+L25+N25+P25</f>
        <v>880</v>
      </c>
      <c r="AD25" s="53">
        <f>(1169.32+74.6)/9950</f>
        <v>0.12501708542713566</v>
      </c>
      <c r="AE25" s="53">
        <f>AC25*AD25</f>
        <v>110.01503517587938</v>
      </c>
      <c r="AG25" s="32">
        <v>23</v>
      </c>
    </row>
    <row r="26" spans="1:33" ht="14.25">
      <c r="A26" s="56">
        <v>43305</v>
      </c>
      <c r="C26" s="32">
        <f>B26*AD26</f>
        <v>0</v>
      </c>
      <c r="E26" s="32">
        <f>D26*AD26</f>
        <v>0</v>
      </c>
      <c r="F26" s="32">
        <v>200</v>
      </c>
      <c r="G26" s="32">
        <f>F26*AD26</f>
        <v>25.00341708542713</v>
      </c>
      <c r="I26" s="32">
        <f>H26*AD26</f>
        <v>0</v>
      </c>
      <c r="J26" s="32">
        <v>23</v>
      </c>
      <c r="K26" s="32">
        <f>J26*AD26</f>
        <v>2.8753929648241203</v>
      </c>
      <c r="L26" s="32">
        <v>275</v>
      </c>
      <c r="M26" s="32">
        <f>L26*AD26</f>
        <v>34.3796984924623</v>
      </c>
      <c r="O26" s="32">
        <f>N26*AD26</f>
        <v>0</v>
      </c>
      <c r="Q26" s="32">
        <f>P26*AD26</f>
        <v>0</v>
      </c>
      <c r="T26" s="32" t="s">
        <v>137</v>
      </c>
      <c r="AB26" s="60" t="s">
        <v>235</v>
      </c>
      <c r="AC26" s="32">
        <f>B26+D26+F26+H26+J26+L26+N26+P26</f>
        <v>498</v>
      </c>
      <c r="AD26" s="53">
        <f>(1169.32+74.6)/9950</f>
        <v>0.12501708542713566</v>
      </c>
      <c r="AE26" s="53">
        <f>AC26*AD26</f>
        <v>62.25850854271356</v>
      </c>
      <c r="AG26" s="32">
        <v>23</v>
      </c>
    </row>
    <row r="27" spans="1:33" ht="14.25">
      <c r="A27" s="56">
        <v>43306</v>
      </c>
      <c r="C27" s="32">
        <f>B27*AD27</f>
        <v>0</v>
      </c>
      <c r="E27" s="32">
        <f>D27*AD27</f>
        <v>0</v>
      </c>
      <c r="F27" s="32">
        <v>200</v>
      </c>
      <c r="G27" s="32">
        <f>F27*AD27</f>
        <v>25.00341708542713</v>
      </c>
      <c r="I27" s="32">
        <f>H27*AD27</f>
        <v>0</v>
      </c>
      <c r="J27" s="32">
        <v>10</v>
      </c>
      <c r="K27" s="32">
        <f>J27*AD27</f>
        <v>1.2501708542713565</v>
      </c>
      <c r="L27" s="32">
        <v>275</v>
      </c>
      <c r="M27" s="32">
        <f>L27*AD27</f>
        <v>34.3796984924623</v>
      </c>
      <c r="O27" s="32">
        <f>N27*AD27</f>
        <v>0</v>
      </c>
      <c r="Q27" s="32">
        <f>P27*AD27</f>
        <v>0</v>
      </c>
      <c r="T27" s="32" t="s">
        <v>137</v>
      </c>
      <c r="AB27" s="32" t="s">
        <v>235</v>
      </c>
      <c r="AC27" s="32">
        <f>B27+D27+F27+H27+J27+L27+N27+P27</f>
        <v>485</v>
      </c>
      <c r="AD27" s="53">
        <f>(1169.32+74.6)/9950</f>
        <v>0.12501708542713566</v>
      </c>
      <c r="AE27" s="53">
        <f>AC27*AD27</f>
        <v>60.633286432160794</v>
      </c>
      <c r="AG27" s="32">
        <v>23</v>
      </c>
    </row>
    <row r="28" spans="1:33" ht="14.25">
      <c r="A28" s="56">
        <v>43307</v>
      </c>
      <c r="B28" s="32">
        <f>6.5*4</f>
        <v>26</v>
      </c>
      <c r="C28" s="32">
        <f>B28*AD28</f>
        <v>3.250444221105527</v>
      </c>
      <c r="D28" s="32">
        <f>61.5+13</f>
        <v>74.5</v>
      </c>
      <c r="E28" s="32">
        <f>D28*AD28</f>
        <v>9.313772864321606</v>
      </c>
      <c r="F28" s="32">
        <v>200</v>
      </c>
      <c r="G28" s="32">
        <f>F28*AD28</f>
        <v>25.00341708542713</v>
      </c>
      <c r="I28" s="32">
        <f>H28*AD28</f>
        <v>0</v>
      </c>
      <c r="J28" s="32">
        <v>10</v>
      </c>
      <c r="K28" s="32">
        <f>J28*AD28</f>
        <v>1.2501708542713565</v>
      </c>
      <c r="L28" s="32">
        <v>270</v>
      </c>
      <c r="M28" s="32">
        <f>L28*AD28</f>
        <v>33.75461306532663</v>
      </c>
      <c r="O28" s="32">
        <f>N28*AD28</f>
        <v>0</v>
      </c>
      <c r="Q28" s="32">
        <f>P28*AD28</f>
        <v>0</v>
      </c>
      <c r="T28" s="32" t="s">
        <v>137</v>
      </c>
      <c r="AB28" s="32" t="s">
        <v>235</v>
      </c>
      <c r="AC28" s="32">
        <f>B28+D28+F28+H28+J28+L28+N28+P28</f>
        <v>580.5</v>
      </c>
      <c r="AD28" s="53">
        <f>(1169.32+74.6)/9950</f>
        <v>0.12501708542713566</v>
      </c>
      <c r="AE28" s="53">
        <f>AC28*AD28</f>
        <v>72.57241809045225</v>
      </c>
      <c r="AG28" s="32">
        <v>23</v>
      </c>
    </row>
    <row r="29" spans="1:33" ht="14.25">
      <c r="A29" s="56">
        <v>43308</v>
      </c>
      <c r="C29" s="32">
        <f>B29*AD29</f>
        <v>0</v>
      </c>
      <c r="D29" s="32">
        <f>137</f>
        <v>137</v>
      </c>
      <c r="E29" s="32">
        <f>D29*AD29</f>
        <v>17.127340703517586</v>
      </c>
      <c r="F29" s="32">
        <v>190</v>
      </c>
      <c r="G29" s="32">
        <f>F29*AD29</f>
        <v>23.753246231155774</v>
      </c>
      <c r="I29" s="32">
        <f>H29*AD29</f>
        <v>0</v>
      </c>
      <c r="J29" s="32">
        <v>10</v>
      </c>
      <c r="K29" s="32">
        <f>J29*AD29</f>
        <v>1.2501708542713565</v>
      </c>
      <c r="L29" s="32">
        <v>270</v>
      </c>
      <c r="M29" s="32">
        <f>L29*AD29</f>
        <v>33.75461306532663</v>
      </c>
      <c r="O29" s="32">
        <f>N29*AD29</f>
        <v>0</v>
      </c>
      <c r="Q29" s="32">
        <f>P29*AD29</f>
        <v>0</v>
      </c>
      <c r="T29" s="32" t="s">
        <v>137</v>
      </c>
      <c r="AB29" s="32" t="s">
        <v>235</v>
      </c>
      <c r="AC29" s="32">
        <f>B29+D29+F29+H29+J29+L29+N29+P29</f>
        <v>607</v>
      </c>
      <c r="AD29" s="53">
        <f>(1169.32+74.6)/9950</f>
        <v>0.12501708542713566</v>
      </c>
      <c r="AE29" s="53">
        <f>AC29*AD29</f>
        <v>75.88537085427134</v>
      </c>
      <c r="AG29" s="32">
        <v>23</v>
      </c>
    </row>
    <row r="30" spans="1:33" ht="14.25">
      <c r="A30" s="56">
        <v>43309</v>
      </c>
      <c r="B30" s="32">
        <f>19*4</f>
        <v>76</v>
      </c>
      <c r="C30" s="32">
        <f>B30*AD30</f>
        <v>9.50129849246231</v>
      </c>
      <c r="D30" s="32">
        <f>41</f>
        <v>41</v>
      </c>
      <c r="E30" s="32">
        <f>D30*AD30</f>
        <v>5.125700502512562</v>
      </c>
      <c r="F30" s="32">
        <v>190</v>
      </c>
      <c r="G30" s="32">
        <f>F30*AD30</f>
        <v>23.753246231155774</v>
      </c>
      <c r="I30" s="32">
        <f>H30*AD30</f>
        <v>0</v>
      </c>
      <c r="J30" s="32">
        <f>10+65</f>
        <v>75</v>
      </c>
      <c r="K30" s="32">
        <f>J30*AD30</f>
        <v>9.376281407035174</v>
      </c>
      <c r="L30" s="32">
        <v>270</v>
      </c>
      <c r="M30" s="32">
        <f>L30*AD30</f>
        <v>33.75461306532663</v>
      </c>
      <c r="O30" s="32">
        <f>N30*AD30</f>
        <v>0</v>
      </c>
      <c r="Q30" s="32">
        <f>P30*AD30</f>
        <v>0</v>
      </c>
      <c r="T30" s="32" t="s">
        <v>137</v>
      </c>
      <c r="AB30" s="32" t="s">
        <v>235</v>
      </c>
      <c r="AC30" s="32">
        <f>B30+D30+F30+H30+J30+L30+N30+P30</f>
        <v>652</v>
      </c>
      <c r="AD30" s="53">
        <f>(1169.32+74.6)/9950</f>
        <v>0.12501708542713566</v>
      </c>
      <c r="AE30" s="53">
        <f>AC30*AD30</f>
        <v>81.51113969849246</v>
      </c>
      <c r="AG30" s="32">
        <v>23</v>
      </c>
    </row>
    <row r="31" spans="1:33" ht="14.25">
      <c r="A31" s="56">
        <v>43310</v>
      </c>
      <c r="B31" s="32">
        <f>6.5*4+10*8+3*4+9*2+8*4</f>
        <v>168</v>
      </c>
      <c r="C31" s="32">
        <f>B31*AD31</f>
        <v>21.00287035175879</v>
      </c>
      <c r="D31" s="32">
        <f>104+10+8+30+30+32</f>
        <v>214</v>
      </c>
      <c r="E31" s="32">
        <f>D31*AD31</f>
        <v>26.753656281407032</v>
      </c>
      <c r="F31" s="32">
        <v>190</v>
      </c>
      <c r="G31" s="32">
        <f>F31*AD31</f>
        <v>23.753246231155774</v>
      </c>
      <c r="I31" s="32">
        <f>H31*AD31</f>
        <v>0</v>
      </c>
      <c r="J31" s="32">
        <v>10</v>
      </c>
      <c r="K31" s="32">
        <f>J31*AD31</f>
        <v>1.2501708542713565</v>
      </c>
      <c r="L31" s="32">
        <v>270</v>
      </c>
      <c r="M31" s="32">
        <f>L31*AD31</f>
        <v>33.75461306532663</v>
      </c>
      <c r="O31" s="32">
        <f>N31*AD31</f>
        <v>0</v>
      </c>
      <c r="Q31" s="32">
        <f>P31*AD31</f>
        <v>0</v>
      </c>
      <c r="T31" s="32" t="s">
        <v>137</v>
      </c>
      <c r="AB31" s="32" t="s">
        <v>235</v>
      </c>
      <c r="AC31" s="32">
        <f>B31+D31+F31+H31+J31+L31+N31+P31</f>
        <v>852</v>
      </c>
      <c r="AD31" s="53">
        <f>(1169.32+74.6)/9950</f>
        <v>0.12501708542713566</v>
      </c>
      <c r="AE31" s="53">
        <f>AC31*AD31</f>
        <v>106.51455678391959</v>
      </c>
      <c r="AG31" s="32">
        <v>23</v>
      </c>
    </row>
    <row r="32" spans="1:33" ht="14.25">
      <c r="A32" s="56">
        <v>43311</v>
      </c>
      <c r="C32" s="32">
        <f>B32*AD32</f>
        <v>0</v>
      </c>
      <c r="D32" s="32">
        <f>57+18</f>
        <v>75</v>
      </c>
      <c r="E32" s="32">
        <f>D32*AD32</f>
        <v>9.376281407035174</v>
      </c>
      <c r="F32" s="32">
        <v>210</v>
      </c>
      <c r="G32" s="32">
        <f>F32*AD32</f>
        <v>26.253587939698487</v>
      </c>
      <c r="I32" s="32">
        <f>H32*AD32</f>
        <v>0</v>
      </c>
      <c r="K32" s="32">
        <f>J32*AD32</f>
        <v>0</v>
      </c>
      <c r="L32" s="32">
        <v>270</v>
      </c>
      <c r="M32" s="32">
        <f>L32*AD32</f>
        <v>33.75461306532663</v>
      </c>
      <c r="O32" s="32">
        <f>N32*AD32</f>
        <v>0</v>
      </c>
      <c r="Q32" s="32">
        <f>P32*AD32</f>
        <v>0</v>
      </c>
      <c r="T32" s="32" t="s">
        <v>137</v>
      </c>
      <c r="AB32" s="32" t="s">
        <v>235</v>
      </c>
      <c r="AC32" s="32">
        <f>B32+D32+F32+H32+J32+L32+N32+P32</f>
        <v>555</v>
      </c>
      <c r="AD32" s="53">
        <f>(1169.32+74.6)/9950</f>
        <v>0.12501708542713566</v>
      </c>
      <c r="AE32" s="53">
        <f>AC32*AD32</f>
        <v>69.3844824120603</v>
      </c>
      <c r="AG32" s="32">
        <v>23</v>
      </c>
    </row>
    <row r="33" spans="1:33" ht="14.25">
      <c r="A33" s="56">
        <v>43312</v>
      </c>
      <c r="C33" s="32">
        <f>B33*AD33</f>
        <v>0</v>
      </c>
      <c r="D33" s="32">
        <f>10+31</f>
        <v>41</v>
      </c>
      <c r="E33" s="32">
        <f>D33*AD33</f>
        <v>5.125700502512562</v>
      </c>
      <c r="F33" s="32">
        <v>200</v>
      </c>
      <c r="G33" s="32">
        <f>F33*AD33</f>
        <v>25.00341708542713</v>
      </c>
      <c r="I33" s="32">
        <f>H33*AD33</f>
        <v>0</v>
      </c>
      <c r="J33" s="32">
        <v>10</v>
      </c>
      <c r="K33" s="32">
        <f>J33*AD33</f>
        <v>1.2501708542713565</v>
      </c>
      <c r="L33" s="32">
        <v>270</v>
      </c>
      <c r="M33" s="32">
        <f>L33*AD33</f>
        <v>33.75461306532663</v>
      </c>
      <c r="O33" s="32">
        <f>N33*AD33</f>
        <v>0</v>
      </c>
      <c r="Q33" s="32">
        <f>P33*AD33</f>
        <v>0</v>
      </c>
      <c r="T33" s="32" t="s">
        <v>137</v>
      </c>
      <c r="AB33" s="32" t="s">
        <v>235</v>
      </c>
      <c r="AC33" s="32">
        <f>B33+D33+F33+H33+J33+L33+N33+P33</f>
        <v>521</v>
      </c>
      <c r="AD33" s="53">
        <f>(1169.32+74.6)/9950</f>
        <v>0.12501708542713566</v>
      </c>
      <c r="AE33" s="53">
        <f>AC33*AD33</f>
        <v>65.13390150753767</v>
      </c>
      <c r="AG33" s="32">
        <v>23</v>
      </c>
    </row>
    <row r="34" spans="1:33" ht="14.25">
      <c r="A34" s="54"/>
      <c r="C34" s="32">
        <f>B34*AD34</f>
        <v>0</v>
      </c>
      <c r="E34" s="32">
        <f>D34*AD34</f>
        <v>0</v>
      </c>
      <c r="G34" s="32">
        <f>F34*AD34</f>
        <v>0</v>
      </c>
      <c r="I34" s="32">
        <f>H34*AD34</f>
        <v>0</v>
      </c>
      <c r="K34" s="32">
        <f>J34*AD34</f>
        <v>0</v>
      </c>
      <c r="M34" s="32">
        <f>L34*AD34</f>
        <v>0</v>
      </c>
      <c r="O34" s="32">
        <f>N34*AD34</f>
        <v>0</v>
      </c>
      <c r="Q34" s="32">
        <f>P34*AD34</f>
        <v>0</v>
      </c>
      <c r="AC34" s="32">
        <f>B34+D34+F34+H34+J34+L34+N34+P34</f>
        <v>0</v>
      </c>
      <c r="AD34" s="53">
        <f>(1169.32+74.6)/9950</f>
        <v>0.12501708542713566</v>
      </c>
      <c r="AE34" s="53">
        <f>AC34*AD34</f>
        <v>0</v>
      </c>
      <c r="AG34" s="32">
        <v>23</v>
      </c>
    </row>
    <row r="35" spans="1:33" ht="14.25">
      <c r="A35" s="54"/>
      <c r="C35" s="32">
        <f>B35*AD35</f>
        <v>0</v>
      </c>
      <c r="E35" s="32">
        <f>D35*AD35</f>
        <v>0</v>
      </c>
      <c r="G35" s="32">
        <f>F35*AD35</f>
        <v>0</v>
      </c>
      <c r="I35" s="32">
        <f>H35*AD35</f>
        <v>0</v>
      </c>
      <c r="K35" s="32">
        <f>J35*AD35</f>
        <v>0</v>
      </c>
      <c r="M35" s="32">
        <f>L35*AD35</f>
        <v>0</v>
      </c>
      <c r="O35" s="32">
        <f>N35*AD35</f>
        <v>0</v>
      </c>
      <c r="Q35" s="32">
        <f>P35*AD35</f>
        <v>0</v>
      </c>
      <c r="AC35" s="32">
        <f>B35+D35+F35+H35+J35+L35+N35+P35</f>
        <v>0</v>
      </c>
      <c r="AD35" s="53">
        <f>(1169.32+74.6)/9950</f>
        <v>0.12501708542713566</v>
      </c>
      <c r="AE35" s="53">
        <f>AC35*AD35</f>
        <v>0</v>
      </c>
      <c r="AG35" s="32">
        <v>22</v>
      </c>
    </row>
    <row r="36" spans="3:33" ht="14.25">
      <c r="C36" s="32">
        <f>B36*AD36</f>
        <v>0</v>
      </c>
      <c r="E36" s="32">
        <f>D36*AD36</f>
        <v>0</v>
      </c>
      <c r="G36" s="32">
        <f>F36*AD36</f>
        <v>0</v>
      </c>
      <c r="I36" s="32">
        <f>H36*AD36</f>
        <v>0</v>
      </c>
      <c r="K36" s="32">
        <f>J36*AD36</f>
        <v>0</v>
      </c>
      <c r="M36" s="32">
        <f>L36*AD36</f>
        <v>0</v>
      </c>
      <c r="O36" s="32">
        <f>N36*AD36</f>
        <v>0</v>
      </c>
      <c r="Q36" s="32">
        <f>P36*AD36</f>
        <v>0</v>
      </c>
      <c r="AC36" s="32">
        <f>B36+D36+F36+H36+J36+L36+N36+P36</f>
        <v>0</v>
      </c>
      <c r="AD36" s="53">
        <f>(1169.32+74.6)/9950</f>
        <v>0.12501708542713566</v>
      </c>
      <c r="AE36" s="53">
        <f>AC36*AD36</f>
        <v>0</v>
      </c>
      <c r="AG36" s="32">
        <v>22</v>
      </c>
    </row>
    <row r="37" spans="3:31" ht="14.25">
      <c r="C37" s="32">
        <f>B37*AD37</f>
        <v>0</v>
      </c>
      <c r="E37" s="32">
        <f>D37*AD37</f>
        <v>0</v>
      </c>
      <c r="G37" s="32">
        <f>F37*AD37</f>
        <v>0</v>
      </c>
      <c r="I37" s="32">
        <f>H37*AD37</f>
        <v>0</v>
      </c>
      <c r="K37" s="32">
        <f>J37*AD37</f>
        <v>0</v>
      </c>
      <c r="M37" s="32">
        <f>L37*AD37</f>
        <v>0</v>
      </c>
      <c r="O37" s="32">
        <f>N37*AD37</f>
        <v>0</v>
      </c>
      <c r="Q37" s="32">
        <f>P37*AD37</f>
        <v>0</v>
      </c>
      <c r="AC37" s="32">
        <f>B37+D37+F37+H37+J37+L37+N37+P37</f>
        <v>0</v>
      </c>
      <c r="AD37" s="32">
        <v>0.07063000000000001</v>
      </c>
      <c r="AE37" s="53">
        <f>AC37*AD37</f>
        <v>0</v>
      </c>
    </row>
    <row r="38" spans="3:31" ht="14.25">
      <c r="C38" s="32">
        <f>B38*AD38</f>
        <v>0</v>
      </c>
      <c r="E38" s="32">
        <f>D38*AD38</f>
        <v>0</v>
      </c>
      <c r="G38" s="32">
        <f>F38*AD38</f>
        <v>0</v>
      </c>
      <c r="I38" s="32">
        <f>H38*AD38</f>
        <v>0</v>
      </c>
      <c r="K38" s="32">
        <f>J38*AD38</f>
        <v>0</v>
      </c>
      <c r="M38" s="32">
        <f>L38*AD38</f>
        <v>0</v>
      </c>
      <c r="O38" s="32">
        <f>N38*AD38</f>
        <v>0</v>
      </c>
      <c r="Q38" s="32">
        <f>P38*AD38</f>
        <v>0</v>
      </c>
      <c r="AC38" s="32">
        <f>B38+D38+F38+H38+J38+L38+N38+P38</f>
        <v>0</v>
      </c>
      <c r="AD38" s="32">
        <v>0.07063000000000001</v>
      </c>
      <c r="AE38" s="53">
        <f>AC38*AD38</f>
        <v>0</v>
      </c>
    </row>
    <row r="39" spans="3:45" ht="14.25">
      <c r="C39" s="32">
        <f>B39*AD39</f>
        <v>0</v>
      </c>
      <c r="E39" s="32">
        <f>D39*AD39</f>
        <v>0</v>
      </c>
      <c r="G39" s="32">
        <f>F39*AD39</f>
        <v>0</v>
      </c>
      <c r="I39" s="32">
        <f>H39*AD39</f>
        <v>0</v>
      </c>
      <c r="K39" s="32">
        <f>J39*AD39</f>
        <v>0</v>
      </c>
      <c r="M39" s="32">
        <f>L39*AD39</f>
        <v>0</v>
      </c>
      <c r="O39" s="32">
        <f>N39*AD39</f>
        <v>0</v>
      </c>
      <c r="Q39" s="32">
        <f>P39*AD39</f>
        <v>0</v>
      </c>
      <c r="AC39" s="32">
        <f>B39+D39+F39+H39+J39+L39+N39+P39</f>
        <v>0</v>
      </c>
      <c r="AD39" s="32">
        <f>(693.63/600000)</f>
        <v>0.00115605</v>
      </c>
      <c r="AE39" s="53">
        <f>AC39*AD39</f>
        <v>0</v>
      </c>
      <c r="AS39" s="54"/>
    </row>
    <row r="40" spans="3:31" ht="14.25">
      <c r="C40" s="32">
        <f>B40*AD40</f>
        <v>0</v>
      </c>
      <c r="E40" s="32">
        <f>D40*AD40</f>
        <v>0</v>
      </c>
      <c r="G40" s="32">
        <f>F40*AD40</f>
        <v>0</v>
      </c>
      <c r="I40" s="32">
        <f>H40*AD40</f>
        <v>0</v>
      </c>
      <c r="K40" s="32">
        <f>J40*AD40</f>
        <v>0</v>
      </c>
      <c r="M40" s="32">
        <f>L40*AD40</f>
        <v>0</v>
      </c>
      <c r="O40" s="32">
        <f>N40*AD40</f>
        <v>0</v>
      </c>
      <c r="Q40" s="32">
        <f>P40*AD40</f>
        <v>0</v>
      </c>
      <c r="AC40" s="32">
        <f>B40+D40+F40+H40+J40+L40+N40+P40</f>
        <v>0</v>
      </c>
      <c r="AD40" s="32">
        <f>(693.63/600000)</f>
        <v>0.00115605</v>
      </c>
      <c r="AE40" s="53">
        <f>AC40*AD40</f>
        <v>0</v>
      </c>
    </row>
    <row r="41" spans="3:31" ht="14.25">
      <c r="C41" s="32">
        <f>B41*AD41</f>
        <v>0</v>
      </c>
      <c r="E41" s="32">
        <f>D41*AD41</f>
        <v>0</v>
      </c>
      <c r="G41" s="32">
        <f>F41*AD41</f>
        <v>0</v>
      </c>
      <c r="I41" s="32">
        <f>H41*AD41</f>
        <v>0</v>
      </c>
      <c r="K41" s="32">
        <f>J41*AD41</f>
        <v>0</v>
      </c>
      <c r="M41" s="32">
        <f>L41*AD41</f>
        <v>0</v>
      </c>
      <c r="O41" s="32">
        <f>N41*AD41</f>
        <v>0</v>
      </c>
      <c r="Q41" s="32">
        <f>P41*AD41</f>
        <v>0</v>
      </c>
      <c r="AC41" s="32">
        <f>B41+D41+F41+H41+J41+L41+N41+P41</f>
        <v>0</v>
      </c>
      <c r="AD41" s="32">
        <f>(693.63/600000)</f>
        <v>0.00115605</v>
      </c>
      <c r="AE41" s="53">
        <f>AC41*AD41</f>
        <v>0</v>
      </c>
    </row>
    <row r="42" spans="3:31" ht="14.25">
      <c r="C42" s="32">
        <f>B42*AD42</f>
        <v>0</v>
      </c>
      <c r="E42" s="32">
        <f>D42*AD42</f>
        <v>0</v>
      </c>
      <c r="G42" s="32">
        <f>F42*AD42</f>
        <v>0</v>
      </c>
      <c r="I42" s="32">
        <f>H42*AD42</f>
        <v>0</v>
      </c>
      <c r="K42" s="32">
        <f>J42*AD42</f>
        <v>0</v>
      </c>
      <c r="M42" s="32">
        <f>L42*AD42</f>
        <v>0</v>
      </c>
      <c r="O42" s="32">
        <f>N42*AD42</f>
        <v>0</v>
      </c>
      <c r="Q42" s="32">
        <f>P42*AD42</f>
        <v>0</v>
      </c>
      <c r="AC42" s="32">
        <f>B42+D42+F42+H42+J42+L42+N42+P42</f>
        <v>0</v>
      </c>
      <c r="AD42" s="32">
        <f>(693.63/600000)</f>
        <v>0.00115605</v>
      </c>
      <c r="AE42" s="53">
        <f>AC42*AD42</f>
        <v>0</v>
      </c>
    </row>
    <row r="43" spans="3:31" ht="14.25">
      <c r="C43" s="32">
        <f>B43*AD43</f>
        <v>0</v>
      </c>
      <c r="E43" s="32">
        <f>D43*AD43</f>
        <v>0</v>
      </c>
      <c r="G43" s="32">
        <f>F43*AD43</f>
        <v>0</v>
      </c>
      <c r="I43" s="32">
        <f>H43*AD43</f>
        <v>0</v>
      </c>
      <c r="K43" s="32">
        <f>J43*AD43</f>
        <v>0</v>
      </c>
      <c r="M43" s="32">
        <f>L43*AD43</f>
        <v>0</v>
      </c>
      <c r="O43" s="32">
        <f>N43*AD43</f>
        <v>0</v>
      </c>
      <c r="Q43" s="32">
        <f>P43*AD43</f>
        <v>0</v>
      </c>
      <c r="AC43" s="32">
        <f>B43+D43+F43+H43+J43+L43+N43+P43</f>
        <v>0</v>
      </c>
      <c r="AD43" s="32">
        <f>(693.63/600000)</f>
        <v>0.00115605</v>
      </c>
      <c r="AE43" s="53">
        <f>AC43*AD43</f>
        <v>0</v>
      </c>
    </row>
    <row r="44" spans="3:31" ht="14.25">
      <c r="C44" s="32">
        <f>B44*AD44</f>
        <v>0</v>
      </c>
      <c r="E44" s="32">
        <f>D44*AD44</f>
        <v>0</v>
      </c>
      <c r="G44" s="32">
        <f>F44*AD44</f>
        <v>0</v>
      </c>
      <c r="I44" s="32">
        <f>H44*AD44</f>
        <v>0</v>
      </c>
      <c r="K44" s="32">
        <f>J44*AD44</f>
        <v>0</v>
      </c>
      <c r="M44" s="32">
        <f>L44*AD44</f>
        <v>0</v>
      </c>
      <c r="O44" s="32">
        <f>N44*AD44</f>
        <v>0</v>
      </c>
      <c r="Q44" s="32">
        <f>P44*AD44</f>
        <v>0</v>
      </c>
      <c r="AC44" s="32">
        <f>B44+D44+F44+H44+J44+L44+N44+P44</f>
        <v>0</v>
      </c>
      <c r="AD44" s="32">
        <f>(693.63/600000)</f>
        <v>0.00115605</v>
      </c>
      <c r="AE44" s="53">
        <f>AC44*AD44</f>
        <v>0</v>
      </c>
    </row>
    <row r="45" spans="3:31" ht="14.25">
      <c r="C45" s="32">
        <f>B45*AD45</f>
        <v>0</v>
      </c>
      <c r="E45" s="32">
        <f>D45*AD45</f>
        <v>0</v>
      </c>
      <c r="G45" s="32">
        <f>F45*AD45</f>
        <v>0</v>
      </c>
      <c r="I45" s="32">
        <f>H45*AD45</f>
        <v>0</v>
      </c>
      <c r="K45" s="32">
        <f>J45*AD45</f>
        <v>0</v>
      </c>
      <c r="M45" s="32">
        <f>L45*AD45</f>
        <v>0</v>
      </c>
      <c r="O45" s="32">
        <f>N45*AD45</f>
        <v>0</v>
      </c>
      <c r="Q45" s="32">
        <f>P45*AD45</f>
        <v>0</v>
      </c>
      <c r="AC45" s="32">
        <f>B45+D45+F45+H45+J45+L45+N45+P45</f>
        <v>0</v>
      </c>
      <c r="AD45" s="32">
        <f>(693.63/600000)</f>
        <v>0.00115605</v>
      </c>
      <c r="AE45" s="53">
        <f>AC45*AD45</f>
        <v>0</v>
      </c>
    </row>
    <row r="46" spans="3:31" ht="14.25">
      <c r="C46" s="32">
        <f>B46*AD46</f>
        <v>0</v>
      </c>
      <c r="E46" s="32">
        <f>D46*AD46</f>
        <v>0</v>
      </c>
      <c r="G46" s="32">
        <f>F46*AD46</f>
        <v>0</v>
      </c>
      <c r="I46" s="32">
        <f>H46*AD46</f>
        <v>0</v>
      </c>
      <c r="K46" s="32">
        <f>J46*AD46</f>
        <v>0</v>
      </c>
      <c r="M46" s="32">
        <f>L46*AD46</f>
        <v>0</v>
      </c>
      <c r="O46" s="32">
        <f>N46*AD46</f>
        <v>0</v>
      </c>
      <c r="Q46" s="32">
        <f>P46*AD46</f>
        <v>0</v>
      </c>
      <c r="AC46" s="32">
        <f>B46+D46+F46+H46+J46+L46+N46+P46</f>
        <v>0</v>
      </c>
      <c r="AD46" s="32">
        <f>(693.63/600000)</f>
        <v>0.00115605</v>
      </c>
      <c r="AE46" s="53">
        <f>AC46*AD46</f>
        <v>0</v>
      </c>
    </row>
    <row r="47" spans="3:31" ht="12.75">
      <c r="C47" s="32">
        <f>B47*AD47</f>
        <v>0</v>
      </c>
      <c r="E47" s="32">
        <f>D47*AD47</f>
        <v>0</v>
      </c>
      <c r="G47" s="32">
        <f>F47*AD47</f>
        <v>0</v>
      </c>
      <c r="I47" s="32">
        <f>H47*AD47</f>
        <v>0</v>
      </c>
      <c r="K47" s="32">
        <f>J47*AD47</f>
        <v>0</v>
      </c>
      <c r="M47" s="32">
        <f>L47*AD47</f>
        <v>0</v>
      </c>
      <c r="O47" s="32">
        <f>N47*AD47</f>
        <v>0</v>
      </c>
      <c r="Q47" s="32">
        <f>P47*AD47</f>
        <v>0</v>
      </c>
      <c r="AC47" s="32">
        <f>B47+D47+F47+H47+J47+L47+N47+P47</f>
        <v>0</v>
      </c>
      <c r="AD47" s="32">
        <f>(693.63/600000)</f>
        <v>0.00115605</v>
      </c>
      <c r="AE47" s="53">
        <f>AC47*AD47</f>
        <v>0</v>
      </c>
    </row>
    <row r="48" spans="3:31" ht="12.75">
      <c r="C48" s="32">
        <f>B48*AD48</f>
        <v>0</v>
      </c>
      <c r="E48" s="32">
        <f>D48*AD48</f>
        <v>0</v>
      </c>
      <c r="G48" s="32">
        <f>F48*AD48</f>
        <v>0</v>
      </c>
      <c r="I48" s="32">
        <f>H48*AD48</f>
        <v>0</v>
      </c>
      <c r="K48" s="32">
        <f>J48*AD48</f>
        <v>0</v>
      </c>
      <c r="M48" s="32">
        <f>L48*AD48</f>
        <v>0</v>
      </c>
      <c r="O48" s="32">
        <f>N48*AD48</f>
        <v>0</v>
      </c>
      <c r="Q48" s="32">
        <f>P48*AD48</f>
        <v>0</v>
      </c>
      <c r="AC48" s="32">
        <f>B48+D48+F48+H48+J48+L48+N48+P48</f>
        <v>0</v>
      </c>
      <c r="AD48" s="32">
        <f>(693.63/600000)</f>
        <v>0.00115605</v>
      </c>
      <c r="AE48" s="53">
        <f>AC48*AD48</f>
        <v>0</v>
      </c>
    </row>
    <row r="49" spans="3:31" ht="12.75">
      <c r="C49" s="32">
        <f>B49*AD49</f>
        <v>0</v>
      </c>
      <c r="E49" s="32">
        <f>D49*AD49</f>
        <v>0</v>
      </c>
      <c r="G49" s="32">
        <f>F49*AD49</f>
        <v>0</v>
      </c>
      <c r="I49" s="32">
        <f>H49*AD49</f>
        <v>0</v>
      </c>
      <c r="K49" s="32">
        <f>J49*AD49</f>
        <v>0</v>
      </c>
      <c r="M49" s="32">
        <f>L49*AD49</f>
        <v>0</v>
      </c>
      <c r="O49" s="32">
        <f>N49*AD49</f>
        <v>0</v>
      </c>
      <c r="Q49" s="32">
        <f>P49*AD49</f>
        <v>0</v>
      </c>
      <c r="AC49" s="32">
        <f>B49+D49+F49+H49+J49+L49+N49+P49</f>
        <v>0</v>
      </c>
      <c r="AD49" s="32">
        <f>(693.63/600000)</f>
        <v>0.00115605</v>
      </c>
      <c r="AE49" s="53">
        <f>AC49*AD49</f>
        <v>0</v>
      </c>
    </row>
    <row r="50" spans="3:31" ht="12.75">
      <c r="C50" s="32">
        <f>B50*AD50</f>
        <v>0</v>
      </c>
      <c r="E50" s="32">
        <f>D50*AD50</f>
        <v>0</v>
      </c>
      <c r="G50" s="32">
        <f>F50*AD50</f>
        <v>0</v>
      </c>
      <c r="I50" s="32">
        <f>H50*AD50</f>
        <v>0</v>
      </c>
      <c r="K50" s="32">
        <f>J50*AD50</f>
        <v>0</v>
      </c>
      <c r="M50" s="32">
        <f>L50*AD50</f>
        <v>0</v>
      </c>
      <c r="O50" s="32">
        <f>N50*AD50</f>
        <v>0</v>
      </c>
      <c r="Q50" s="32">
        <f>P50*AD50</f>
        <v>0</v>
      </c>
      <c r="AC50" s="32">
        <f>B50+D50+F50+H50+J50+L50+N50</f>
        <v>0</v>
      </c>
      <c r="AD50" s="32">
        <v>0.0061</v>
      </c>
      <c r="AE50" s="53">
        <f>AC50*AD50</f>
        <v>0</v>
      </c>
    </row>
    <row r="51" spans="3:31" ht="12.75">
      <c r="C51" s="32">
        <f>B51*AD51</f>
        <v>0</v>
      </c>
      <c r="E51" s="32">
        <f>D51*AD51</f>
        <v>0</v>
      </c>
      <c r="G51" s="32">
        <f>F51*AD51</f>
        <v>0</v>
      </c>
      <c r="I51" s="32">
        <f>H51*AD51</f>
        <v>0</v>
      </c>
      <c r="K51" s="32">
        <f>J51*AD51</f>
        <v>0</v>
      </c>
      <c r="M51" s="32">
        <f>L51*AD51</f>
        <v>0</v>
      </c>
      <c r="O51" s="32">
        <f>N51*AD51</f>
        <v>0</v>
      </c>
      <c r="Q51" s="32">
        <f>P51*AD51</f>
        <v>0</v>
      </c>
      <c r="AC51" s="32">
        <f>B51+D51+F51+H51+J51+L51+N51</f>
        <v>0</v>
      </c>
      <c r="AD51" s="32">
        <v>0.1889</v>
      </c>
      <c r="AE51" s="53">
        <f>AC51*AD51</f>
        <v>0</v>
      </c>
    </row>
    <row r="52" spans="3:31" ht="12.75">
      <c r="C52" s="32">
        <f>B52*AD52</f>
        <v>0</v>
      </c>
      <c r="E52" s="32">
        <f>D52*AD52</f>
        <v>0</v>
      </c>
      <c r="G52" s="32">
        <f>F52*AD52</f>
        <v>0</v>
      </c>
      <c r="I52" s="32">
        <f>H52*AD52</f>
        <v>0</v>
      </c>
      <c r="K52" s="32">
        <f>J52*AD52</f>
        <v>0</v>
      </c>
      <c r="M52" s="32">
        <f>L52*AD52</f>
        <v>0</v>
      </c>
      <c r="O52" s="32">
        <f>N52*AD52</f>
        <v>0</v>
      </c>
      <c r="Q52" s="32">
        <f>P52*AD52</f>
        <v>0</v>
      </c>
      <c r="AC52" s="32">
        <f>B52+D52+F52+H52+J52+L52+N52</f>
        <v>0</v>
      </c>
      <c r="AE52" s="53">
        <f>AC52*AD52</f>
        <v>0</v>
      </c>
    </row>
    <row r="53" spans="3:31" ht="12.75">
      <c r="C53" s="32">
        <f>B53*AD53</f>
        <v>0</v>
      </c>
      <c r="E53" s="32">
        <f>D53*AD53</f>
        <v>0</v>
      </c>
      <c r="G53" s="32">
        <f>F53*AD53</f>
        <v>0</v>
      </c>
      <c r="I53" s="32">
        <f>H53*AD53</f>
        <v>0</v>
      </c>
      <c r="K53" s="32">
        <f>J53*AD53</f>
        <v>0</v>
      </c>
      <c r="M53" s="32">
        <f>L53*AD53</f>
        <v>0</v>
      </c>
      <c r="O53" s="32">
        <f>N53*AD53</f>
        <v>0</v>
      </c>
      <c r="Q53" s="32">
        <f>P53*AD53</f>
        <v>0</v>
      </c>
      <c r="AC53" s="32">
        <f>B53+D53+F53+H53+J53+L53+N53</f>
        <v>0</v>
      </c>
      <c r="AE53" s="53">
        <f>AC53*AD53</f>
        <v>0</v>
      </c>
    </row>
    <row r="54" spans="3:31" ht="12.75">
      <c r="C54" s="32">
        <f>B54*AD54</f>
        <v>0</v>
      </c>
      <c r="E54" s="32">
        <f>D54*AD54</f>
        <v>0</v>
      </c>
      <c r="G54" s="32">
        <f>F54*AD54</f>
        <v>0</v>
      </c>
      <c r="I54" s="32">
        <f>H54*AD54</f>
        <v>0</v>
      </c>
      <c r="K54" s="32">
        <f>J54*AD54</f>
        <v>0</v>
      </c>
      <c r="M54" s="32">
        <f>L54*AD54</f>
        <v>0</v>
      </c>
      <c r="O54" s="32">
        <f>N54*AD54</f>
        <v>0</v>
      </c>
      <c r="Q54" s="32">
        <f>P54*AD54</f>
        <v>0</v>
      </c>
      <c r="AC54" s="32">
        <f>B54+D54+F54+H54+J54+L54+N54</f>
        <v>0</v>
      </c>
      <c r="AE54" s="53">
        <f>AC54*AD54</f>
        <v>0</v>
      </c>
    </row>
    <row r="55" spans="3:31" ht="12.75">
      <c r="C55" s="32">
        <f>B55*AD55</f>
        <v>0</v>
      </c>
      <c r="E55" s="32">
        <f>D55*AD55</f>
        <v>0</v>
      </c>
      <c r="G55" s="32">
        <f>F55*AD55</f>
        <v>0</v>
      </c>
      <c r="I55" s="32">
        <f>H55*AD55</f>
        <v>0</v>
      </c>
      <c r="K55" s="32">
        <f>J55*AD55</f>
        <v>0</v>
      </c>
      <c r="M55" s="32">
        <f>L55*AD55</f>
        <v>0</v>
      </c>
      <c r="O55" s="32">
        <f>N55*AD55</f>
        <v>0</v>
      </c>
      <c r="Q55" s="32">
        <f>P55*AD55</f>
        <v>0</v>
      </c>
      <c r="AC55" s="32">
        <f>B55+D55+F55+H55+J55+L55+N55</f>
        <v>0</v>
      </c>
      <c r="AD55" s="32">
        <v>0.005925</v>
      </c>
      <c r="AE55" s="53">
        <f>AC55*AD55</f>
        <v>0</v>
      </c>
    </row>
    <row r="56" spans="3:31" ht="12.75">
      <c r="C56" s="32">
        <f>B56*AD56</f>
        <v>0</v>
      </c>
      <c r="E56" s="32">
        <f>D56*AD56</f>
        <v>0</v>
      </c>
      <c r="G56" s="32">
        <f>F56*AD56</f>
        <v>0</v>
      </c>
      <c r="I56" s="32">
        <f>H56*AD56</f>
        <v>0</v>
      </c>
      <c r="K56" s="32">
        <f>J56*AD56</f>
        <v>0</v>
      </c>
      <c r="M56" s="32">
        <f>L56*AD56</f>
        <v>0</v>
      </c>
      <c r="O56" s="32">
        <f>N56*AD56</f>
        <v>0</v>
      </c>
      <c r="Q56" s="32">
        <f>P56*AD56</f>
        <v>0</v>
      </c>
      <c r="AC56" s="32">
        <f>B56+D56+F56+H56+J56+L56+N56</f>
        <v>0</v>
      </c>
      <c r="AE56" s="53">
        <f>AC56*AD56</f>
        <v>0</v>
      </c>
    </row>
    <row r="57" spans="3:31" ht="12.75">
      <c r="C57" s="32">
        <f>B57*AD57</f>
        <v>0</v>
      </c>
      <c r="E57" s="32">
        <f>D57*AD57</f>
        <v>0</v>
      </c>
      <c r="G57" s="32">
        <f>F57*AD57</f>
        <v>0</v>
      </c>
      <c r="I57" s="32">
        <f>H57*AD57</f>
        <v>0</v>
      </c>
      <c r="K57" s="32">
        <f>J57*AD57</f>
        <v>0</v>
      </c>
      <c r="M57" s="32">
        <f>L57*AD57</f>
        <v>0</v>
      </c>
      <c r="O57" s="32">
        <f>N57*AD57</f>
        <v>0</v>
      </c>
      <c r="Q57" s="32">
        <f>P57*AD57</f>
        <v>0</v>
      </c>
      <c r="AC57" s="32">
        <f>B57+D57+F57+H57+J57+L57+N57</f>
        <v>0</v>
      </c>
      <c r="AE57" s="53">
        <f>AC57*AD57</f>
        <v>0</v>
      </c>
    </row>
    <row r="58" spans="3:31" ht="12.75">
      <c r="C58" s="32">
        <f>B58*AD58</f>
        <v>0</v>
      </c>
      <c r="E58" s="32">
        <f>D58*AD58</f>
        <v>0</v>
      </c>
      <c r="G58" s="32">
        <f>F58*AD58</f>
        <v>0</v>
      </c>
      <c r="I58" s="32">
        <f>H58*AD58</f>
        <v>0</v>
      </c>
      <c r="K58" s="32">
        <f>J58*AD58</f>
        <v>0</v>
      </c>
      <c r="M58" s="32">
        <f>L58*AD58</f>
        <v>0</v>
      </c>
      <c r="O58" s="32">
        <f>N58*AD58</f>
        <v>0</v>
      </c>
      <c r="Q58" s="32">
        <f>P58*AD58</f>
        <v>0</v>
      </c>
      <c r="AC58" s="32">
        <f>B58+D58+F58+H58+J58+L58+N58</f>
        <v>0</v>
      </c>
      <c r="AE58" s="53">
        <f>AC58*AD58</f>
        <v>0</v>
      </c>
    </row>
    <row r="59" spans="3:29" ht="12.75">
      <c r="C59" s="32">
        <f>B59*AD59</f>
        <v>0</v>
      </c>
      <c r="E59" s="32">
        <f>D59*AD59</f>
        <v>0</v>
      </c>
      <c r="G59" s="32">
        <f>F59*AD59</f>
        <v>0</v>
      </c>
      <c r="I59" s="32">
        <f>H59*AD59</f>
        <v>0</v>
      </c>
      <c r="K59" s="32">
        <f>J59*AD59</f>
        <v>0</v>
      </c>
      <c r="M59" s="32">
        <f>L59*AD59</f>
        <v>0</v>
      </c>
      <c r="O59" s="32">
        <f>N59*AD59</f>
        <v>0</v>
      </c>
      <c r="Q59" s="32">
        <f>P59*AD59</f>
        <v>0</v>
      </c>
      <c r="AC59" s="32">
        <f>B59+D59+F59+H59+J59+L59+N59</f>
        <v>0</v>
      </c>
    </row>
    <row r="60" spans="3:29" ht="12.75">
      <c r="C60" s="32">
        <f>B60*AD60</f>
        <v>0</v>
      </c>
      <c r="E60" s="32">
        <f>D60*AD60</f>
        <v>0</v>
      </c>
      <c r="G60" s="32">
        <f>F60*AD60</f>
        <v>0</v>
      </c>
      <c r="I60" s="32">
        <f>H60*AD60</f>
        <v>0</v>
      </c>
      <c r="K60" s="32">
        <f>J60*AD60</f>
        <v>0</v>
      </c>
      <c r="M60" s="32">
        <f>L60*AD60</f>
        <v>0</v>
      </c>
      <c r="O60" s="32">
        <f>N60*AD60</f>
        <v>0</v>
      </c>
      <c r="Q60" s="32">
        <f>P60*AD60</f>
        <v>0</v>
      </c>
      <c r="AC60" s="32">
        <f>B60+D60+F60+H60+J60+L60+N60</f>
        <v>0</v>
      </c>
    </row>
    <row r="61" spans="3:29" ht="12.75">
      <c r="C61" s="32">
        <f>B61*AD61</f>
        <v>0</v>
      </c>
      <c r="E61" s="32">
        <f>D61*AD61</f>
        <v>0</v>
      </c>
      <c r="G61" s="32">
        <f>F61*AD61</f>
        <v>0</v>
      </c>
      <c r="I61" s="32">
        <f>H61*AD61</f>
        <v>0</v>
      </c>
      <c r="K61" s="32">
        <f>J61*AD61</f>
        <v>0</v>
      </c>
      <c r="M61" s="32">
        <f>L61*AD61</f>
        <v>0</v>
      </c>
      <c r="O61" s="32">
        <f>N61*AD61</f>
        <v>0</v>
      </c>
      <c r="AC61" s="32">
        <f>B61+D61+F61+H61+J61+L61+N61</f>
        <v>0</v>
      </c>
    </row>
    <row r="62" spans="3:29" ht="12.75">
      <c r="C62" s="32">
        <f>B62*AD62</f>
        <v>0</v>
      </c>
      <c r="E62" s="32">
        <f>D62*AD62</f>
        <v>0</v>
      </c>
      <c r="G62" s="32">
        <f>F62*AD62</f>
        <v>0</v>
      </c>
      <c r="I62" s="32">
        <f>H62*AD62</f>
        <v>0</v>
      </c>
      <c r="K62" s="32">
        <f>J62*AD62</f>
        <v>0</v>
      </c>
      <c r="M62" s="32">
        <f>L62*AD62</f>
        <v>0</v>
      </c>
      <c r="O62" s="32">
        <f>N62*AD62</f>
        <v>0</v>
      </c>
      <c r="AC62" s="32">
        <f>B62+D62+F62+H62+J62+L62+N62</f>
        <v>0</v>
      </c>
    </row>
    <row r="63" spans="3:29" ht="12.75">
      <c r="C63" s="32">
        <f>B63*AD63</f>
        <v>0</v>
      </c>
      <c r="E63" s="32">
        <f>D63*AD63</f>
        <v>0</v>
      </c>
      <c r="G63" s="32">
        <f>F63*AD63</f>
        <v>0</v>
      </c>
      <c r="I63" s="32">
        <f>H63*AD63</f>
        <v>0</v>
      </c>
      <c r="K63" s="32">
        <f>J63*AD63</f>
        <v>0</v>
      </c>
      <c r="M63" s="32">
        <f>L63*AD63</f>
        <v>0</v>
      </c>
      <c r="AC63" s="32">
        <f>B63+D63+F63+H63+J63+L63+N63</f>
        <v>0</v>
      </c>
    </row>
    <row r="64" spans="3:29" ht="12.75">
      <c r="C64" s="32">
        <f>B64*AD64</f>
        <v>0</v>
      </c>
      <c r="E64" s="32">
        <f>D64*AD64</f>
        <v>0</v>
      </c>
      <c r="G64" s="32">
        <f>F64*AD64</f>
        <v>0</v>
      </c>
      <c r="I64" s="32">
        <f>H64*AD64</f>
        <v>0</v>
      </c>
      <c r="K64" s="32">
        <f>J64*AD64</f>
        <v>0</v>
      </c>
      <c r="M64" s="32">
        <f>L64*AD64</f>
        <v>0</v>
      </c>
      <c r="AC64" s="32">
        <f>B64+D64+F64+H64+J64+L64+N64</f>
        <v>0</v>
      </c>
    </row>
    <row r="65" spans="3:29" ht="12.75">
      <c r="C65" s="32">
        <f>B65*AD65</f>
        <v>0</v>
      </c>
      <c r="E65" s="32">
        <f>D65*AD65</f>
        <v>0</v>
      </c>
      <c r="G65" s="32">
        <f>F65*AD65</f>
        <v>0</v>
      </c>
      <c r="I65" s="32">
        <f>H65*AD65</f>
        <v>0</v>
      </c>
      <c r="K65" s="32">
        <f>J65*AD65</f>
        <v>0</v>
      </c>
      <c r="M65" s="32">
        <f>L65*AD65</f>
        <v>0</v>
      </c>
      <c r="AC65" s="32">
        <f>B65+D65+F65+H65+J65+L65+N65</f>
        <v>0</v>
      </c>
    </row>
    <row r="66" spans="3:29" ht="12.75">
      <c r="C66" s="32">
        <f>B66*AD66</f>
        <v>0</v>
      </c>
      <c r="E66" s="32">
        <f>D66*AD66</f>
        <v>0</v>
      </c>
      <c r="G66" s="32">
        <f>F66*AD66</f>
        <v>0</v>
      </c>
      <c r="I66" s="32">
        <f>H66*AD66</f>
        <v>0</v>
      </c>
      <c r="K66" s="32">
        <f>J66*AD66</f>
        <v>0</v>
      </c>
      <c r="M66" s="32">
        <f>L66*AD66</f>
        <v>0</v>
      </c>
      <c r="AC66" s="32">
        <f>B66+D66+F66+H66+J66+L66+N66</f>
        <v>0</v>
      </c>
    </row>
    <row r="67" spans="3:29" ht="12.75">
      <c r="C67" s="32">
        <f>B67*AD67</f>
        <v>0</v>
      </c>
      <c r="E67" s="32">
        <f>D67*AD67</f>
        <v>0</v>
      </c>
      <c r="G67" s="32">
        <f>F67*AD67</f>
        <v>0</v>
      </c>
      <c r="I67" s="32">
        <f>H67*AD67</f>
        <v>0</v>
      </c>
      <c r="K67" s="32">
        <f>J67*AD67</f>
        <v>0</v>
      </c>
      <c r="M67" s="32">
        <f>L67*AD67</f>
        <v>0</v>
      </c>
      <c r="AC67" s="32">
        <f>B67+D67+F67+H67+J67+L67+N67</f>
        <v>0</v>
      </c>
    </row>
    <row r="68" spans="3:29" ht="12.75">
      <c r="C68" s="32">
        <f>B68*AD68</f>
        <v>0</v>
      </c>
      <c r="E68" s="32">
        <f>D68*AD68</f>
        <v>0</v>
      </c>
      <c r="G68" s="32">
        <f>F68*AD68</f>
        <v>0</v>
      </c>
      <c r="I68" s="32">
        <f>H68*AD68</f>
        <v>0</v>
      </c>
      <c r="K68" s="32">
        <f>J68*AD68</f>
        <v>0</v>
      </c>
      <c r="M68" s="32">
        <f>L68*AD68</f>
        <v>0</v>
      </c>
      <c r="AC68" s="32">
        <f>B68+D68+F68+H68+J68+L68+N68</f>
        <v>0</v>
      </c>
    </row>
    <row r="69" spans="3:29" ht="12.75">
      <c r="C69" s="32">
        <f>B69*AD69</f>
        <v>0</v>
      </c>
      <c r="E69" s="32">
        <f>D69*AD69</f>
        <v>0</v>
      </c>
      <c r="G69" s="32">
        <f>F69*AD69</f>
        <v>0</v>
      </c>
      <c r="I69" s="32">
        <f>H69*AD69</f>
        <v>0</v>
      </c>
      <c r="K69" s="32">
        <f>J69*AD69</f>
        <v>0</v>
      </c>
      <c r="M69" s="32">
        <f>L69*AD69</f>
        <v>0</v>
      </c>
      <c r="AC69" s="32">
        <f>B69+D69+F69+H69+J69+L69+N69</f>
        <v>0</v>
      </c>
    </row>
    <row r="70" spans="3:29" ht="12.75">
      <c r="C70" s="32">
        <f>B70*AD70</f>
        <v>0</v>
      </c>
      <c r="E70" s="32">
        <f>D70*AD70</f>
        <v>0</v>
      </c>
      <c r="G70" s="32">
        <f>F70*AD70</f>
        <v>0</v>
      </c>
      <c r="I70" s="32">
        <f>H70*AD70</f>
        <v>0</v>
      </c>
      <c r="K70" s="32">
        <f>J70*AD70</f>
        <v>0</v>
      </c>
      <c r="M70" s="32">
        <f>L70*AD70</f>
        <v>0</v>
      </c>
      <c r="AC70" s="32">
        <f>B70+D70+F70+H70+J70+L70+N70</f>
        <v>0</v>
      </c>
    </row>
    <row r="71" spans="3:29" ht="12.75">
      <c r="C71" s="32">
        <f>B71*AD71</f>
        <v>0</v>
      </c>
      <c r="E71" s="32">
        <f>D71*AD71</f>
        <v>0</v>
      </c>
      <c r="G71" s="32">
        <f>F71*AD71</f>
        <v>0</v>
      </c>
      <c r="I71" s="32">
        <f>H71*AD71</f>
        <v>0</v>
      </c>
      <c r="K71" s="32">
        <f>J71*AD71</f>
        <v>0</v>
      </c>
      <c r="M71" s="32">
        <f>L71*AD71</f>
        <v>0</v>
      </c>
      <c r="AC71" s="32">
        <f>B71+D71+F71+H71+J71+L71+N71</f>
        <v>0</v>
      </c>
    </row>
    <row r="72" spans="3:29" ht="12.75">
      <c r="C72" s="32">
        <f>B72*AD72</f>
        <v>0</v>
      </c>
      <c r="E72" s="32">
        <f>D72*AD72</f>
        <v>0</v>
      </c>
      <c r="G72" s="32">
        <f>F72*AD72</f>
        <v>0</v>
      </c>
      <c r="I72" s="32">
        <f>H72*AD72</f>
        <v>0</v>
      </c>
      <c r="K72" s="32">
        <f>J72*AD72</f>
        <v>0</v>
      </c>
      <c r="M72" s="32">
        <f>L72*AD72</f>
        <v>0</v>
      </c>
      <c r="AC72" s="32">
        <f>B72+D72+F72+H72+J72+L72+N72</f>
        <v>0</v>
      </c>
    </row>
    <row r="73" spans="3:29" ht="12.75">
      <c r="C73" s="32">
        <f>B73*AD73</f>
        <v>0</v>
      </c>
      <c r="E73" s="32">
        <f>D73*AD73</f>
        <v>0</v>
      </c>
      <c r="G73" s="32">
        <f>F73*AD73</f>
        <v>0</v>
      </c>
      <c r="I73" s="32">
        <f>H73*AD73</f>
        <v>0</v>
      </c>
      <c r="K73" s="32">
        <f>J73*AD73</f>
        <v>0</v>
      </c>
      <c r="M73" s="32">
        <f>L73*AD73</f>
        <v>0</v>
      </c>
      <c r="AC73" s="32">
        <f>B73+D73+F73+H73+J73+L73+N73</f>
        <v>0</v>
      </c>
    </row>
    <row r="74" spans="3:29" ht="12.75">
      <c r="C74" s="32">
        <f>B74*AD74</f>
        <v>0</v>
      </c>
      <c r="E74" s="32">
        <f>D74*AD74</f>
        <v>0</v>
      </c>
      <c r="G74" s="32">
        <f>F74*AD74</f>
        <v>0</v>
      </c>
      <c r="I74" s="32">
        <f>H74*AD74</f>
        <v>0</v>
      </c>
      <c r="M74" s="32">
        <f>L74*AD74</f>
        <v>0</v>
      </c>
      <c r="AC74" s="32">
        <f>B74+D74+F74+H74+J74+L74+N74</f>
        <v>0</v>
      </c>
    </row>
    <row r="75" spans="3:29" ht="12.75">
      <c r="C75" s="32">
        <f>B75*AD75</f>
        <v>0</v>
      </c>
      <c r="E75" s="32">
        <f>D75*AD75</f>
        <v>0</v>
      </c>
      <c r="G75" s="32">
        <f>F75*AD75</f>
        <v>0</v>
      </c>
      <c r="I75" s="32">
        <f>H75*AD75</f>
        <v>0</v>
      </c>
      <c r="M75" s="32">
        <f>L75*AD75</f>
        <v>0</v>
      </c>
      <c r="AC75" s="32">
        <f>B75+D75+F75+H75+J75+L75+N75</f>
        <v>0</v>
      </c>
    </row>
    <row r="76" spans="3:29" ht="12.75">
      <c r="C76" s="32">
        <f>B76*AD76</f>
        <v>0</v>
      </c>
      <c r="E76" s="32">
        <f>D76*AD76</f>
        <v>0</v>
      </c>
      <c r="G76" s="32">
        <f>F76*AD76</f>
        <v>0</v>
      </c>
      <c r="I76" s="32">
        <f>H76*AD76</f>
        <v>0</v>
      </c>
      <c r="M76" s="32">
        <f>L76*AD76</f>
        <v>0</v>
      </c>
      <c r="AC76" s="32">
        <f>B76+D76+F76+H76+J76+L76+N76</f>
        <v>0</v>
      </c>
    </row>
    <row r="77" spans="3:29" ht="12.75">
      <c r="C77" s="32">
        <f>B77*AD77</f>
        <v>0</v>
      </c>
      <c r="E77" s="32">
        <f>D77*AD77</f>
        <v>0</v>
      </c>
      <c r="G77" s="32">
        <f>F77*AD77</f>
        <v>0</v>
      </c>
      <c r="I77" s="32">
        <f>H77*AD77</f>
        <v>0</v>
      </c>
      <c r="M77" s="32">
        <f>L77*AD77</f>
        <v>0</v>
      </c>
      <c r="AC77" s="32">
        <f>B77+D77+F77+H77+J77+L77+N77</f>
        <v>0</v>
      </c>
    </row>
    <row r="78" spans="3:29" ht="12.75">
      <c r="C78" s="32">
        <f>B78*AD78</f>
        <v>0</v>
      </c>
      <c r="E78" s="32">
        <f>D78*AD78</f>
        <v>0</v>
      </c>
      <c r="G78" s="32">
        <f>F78*AD78</f>
        <v>0</v>
      </c>
      <c r="I78" s="32">
        <f>H78*AD78</f>
        <v>0</v>
      </c>
      <c r="M78" s="32">
        <f>L78*AD78</f>
        <v>0</v>
      </c>
      <c r="AC78" s="32">
        <f>B78+D78+F78+H78+J78+L78+N78</f>
        <v>0</v>
      </c>
    </row>
    <row r="79" spans="3:29" ht="12.75">
      <c r="C79" s="32">
        <f>B79*AD79</f>
        <v>0</v>
      </c>
      <c r="E79" s="32">
        <f>D79*AD79</f>
        <v>0</v>
      </c>
      <c r="G79" s="32">
        <f>F79*AD79</f>
        <v>0</v>
      </c>
      <c r="I79" s="32">
        <f>H79*AD79</f>
        <v>0</v>
      </c>
      <c r="AC79" s="32">
        <f>B79+D79+F79+H79+J79+L79+N79</f>
        <v>0</v>
      </c>
    </row>
    <row r="80" spans="3:29" ht="12.75">
      <c r="C80" s="32">
        <f>B80*AD80</f>
        <v>0</v>
      </c>
      <c r="E80" s="32">
        <f>D80*AD80</f>
        <v>0</v>
      </c>
      <c r="G80" s="32">
        <f>F80*AD80</f>
        <v>0</v>
      </c>
      <c r="I80" s="32">
        <f>H80*AD80</f>
        <v>0</v>
      </c>
      <c r="AC80" s="32">
        <f>B80+D80+F80+H80+J80+L80+N80</f>
        <v>0</v>
      </c>
    </row>
    <row r="81" spans="3:29" ht="12.75">
      <c r="C81" s="32">
        <f>B81*AD81</f>
        <v>0</v>
      </c>
      <c r="E81" s="32">
        <f>D81*AD81</f>
        <v>0</v>
      </c>
      <c r="G81" s="32">
        <f>F81*AD81</f>
        <v>0</v>
      </c>
      <c r="I81" s="32">
        <f>H81*AD81</f>
        <v>0</v>
      </c>
      <c r="AC81" s="32">
        <f>B81+D81+F81+H81+J81+L81+N81</f>
        <v>0</v>
      </c>
    </row>
    <row r="82" spans="3:29" ht="12.75">
      <c r="C82" s="32">
        <f>B82*AD82</f>
        <v>0</v>
      </c>
      <c r="E82" s="32">
        <f>D82*AD82</f>
        <v>0</v>
      </c>
      <c r="G82" s="32">
        <f>F82*AD82</f>
        <v>0</v>
      </c>
      <c r="I82" s="32">
        <f>H82*AD82</f>
        <v>0</v>
      </c>
      <c r="AC82" s="32">
        <f>B82+D82+F82+H82+J82+L82+N82</f>
        <v>0</v>
      </c>
    </row>
    <row r="83" spans="3:29" ht="12.75">
      <c r="C83" s="32">
        <f>B83*AD83</f>
        <v>0</v>
      </c>
      <c r="E83" s="32">
        <f>D83*AD83</f>
        <v>0</v>
      </c>
      <c r="G83" s="32">
        <f>F83*AD83</f>
        <v>0</v>
      </c>
      <c r="I83" s="32">
        <f>H83*AD83</f>
        <v>0</v>
      </c>
      <c r="AC83" s="32">
        <f>B83+D83+F83+H83+J83+L83+N83</f>
        <v>0</v>
      </c>
    </row>
    <row r="84" spans="3:29" ht="12.75">
      <c r="C84" s="32">
        <f>B84*AD84</f>
        <v>0</v>
      </c>
      <c r="E84" s="32">
        <f>D84*AD84</f>
        <v>0</v>
      </c>
      <c r="AC84" s="32">
        <f>B84+D84+F84+H84+J84+L84+N84</f>
        <v>0</v>
      </c>
    </row>
    <row r="85" spans="3:29" ht="12.75">
      <c r="C85" s="32">
        <f>B85*AD85</f>
        <v>0</v>
      </c>
      <c r="E85" s="32">
        <f>D85*AD85</f>
        <v>0</v>
      </c>
      <c r="AC85" s="32">
        <f>B85+D85+F85+H85+J85+L85+N85</f>
        <v>0</v>
      </c>
    </row>
    <row r="86" spans="3:29" ht="12.75">
      <c r="C86" s="32">
        <f>B86*AD86</f>
        <v>0</v>
      </c>
      <c r="E86" s="32">
        <f>D86*AD86</f>
        <v>0</v>
      </c>
      <c r="AC86" s="32">
        <f>B86+D86+F86+H86+J86+L86+N86</f>
        <v>0</v>
      </c>
    </row>
    <row r="87" spans="3:29" ht="12.75">
      <c r="C87" s="32">
        <f>B87*AD87</f>
        <v>0</v>
      </c>
      <c r="E87" s="32">
        <f>D87*AD87</f>
        <v>0</v>
      </c>
      <c r="AC87" s="32">
        <f>B87+D87+F87+H87+J87+L87+N87</f>
        <v>0</v>
      </c>
    </row>
    <row r="88" spans="3:29" ht="12.75">
      <c r="C88" s="32">
        <f>B88*AD88</f>
        <v>0</v>
      </c>
      <c r="E88" s="32">
        <f>D88*AD88</f>
        <v>0</v>
      </c>
      <c r="AC88" s="32">
        <f>B88+D88+F88+H88+J88+L88+N88</f>
        <v>0</v>
      </c>
    </row>
    <row r="89" spans="3:29" ht="12.75">
      <c r="C89" s="32">
        <f>B89*AD89</f>
        <v>0</v>
      </c>
      <c r="E89" s="32">
        <f>D89*AD89</f>
        <v>0</v>
      </c>
      <c r="AC89" s="32">
        <f>B89+D89+F89+H89+J89+L89+N89</f>
        <v>0</v>
      </c>
    </row>
    <row r="90" spans="3:29" ht="12.75">
      <c r="C90" s="32">
        <f>B90*AD90</f>
        <v>0</v>
      </c>
      <c r="E90" s="32">
        <f>D90*AD90</f>
        <v>0</v>
      </c>
      <c r="AC90" s="32">
        <f>B90+D90+F90+H90+J90+L90+N90</f>
        <v>0</v>
      </c>
    </row>
    <row r="91" spans="3:29" ht="12.75">
      <c r="C91" s="32">
        <f>B91*AD91</f>
        <v>0</v>
      </c>
      <c r="E91" s="32">
        <f>D91*AD91</f>
        <v>0</v>
      </c>
      <c r="AC91" s="32">
        <f>B91+D91+F91+H91+J91+L91+N91</f>
        <v>0</v>
      </c>
    </row>
    <row r="92" spans="3:29" ht="12.75">
      <c r="C92" s="32">
        <f>B92*AD92</f>
        <v>0</v>
      </c>
      <c r="E92" s="32">
        <f>D92*AD92</f>
        <v>0</v>
      </c>
      <c r="AC92" s="32">
        <f>B92+D92+F92+H92+J92+L92+N92</f>
        <v>0</v>
      </c>
    </row>
    <row r="93" spans="3:29" ht="12.75">
      <c r="C93" s="32">
        <f>B93*AD93</f>
        <v>0</v>
      </c>
      <c r="E93" s="32">
        <f>D93*AD93</f>
        <v>0</v>
      </c>
      <c r="AC93" s="32">
        <f>B93+D93+F93+H93+J93+L93+N93</f>
        <v>0</v>
      </c>
    </row>
    <row r="94" spans="3:29" ht="12.75">
      <c r="C94" s="32">
        <f>B94*AD94</f>
        <v>0</v>
      </c>
      <c r="E94" s="32">
        <f>D94*AD94</f>
        <v>0</v>
      </c>
      <c r="AC94" s="32">
        <f>B94+D94+F94+H94+J94+L94+N94</f>
        <v>0</v>
      </c>
    </row>
    <row r="95" spans="3:29" ht="12.75">
      <c r="C95" s="32">
        <f>B95*AD95</f>
        <v>0</v>
      </c>
      <c r="E95" s="32">
        <f>D95*AD95</f>
        <v>0</v>
      </c>
      <c r="AC95" s="32">
        <f>B95+D95+F95+H95+J95+L95+N95</f>
        <v>0</v>
      </c>
    </row>
    <row r="96" spans="3:29" ht="12.75">
      <c r="C96" s="32">
        <f>B96*AD96</f>
        <v>0</v>
      </c>
      <c r="E96" s="32">
        <f>D96*AD96</f>
        <v>0</v>
      </c>
      <c r="AC96" s="32">
        <f>B96+D96+F96+H96+J96+L96+N96</f>
        <v>0</v>
      </c>
    </row>
    <row r="97" spans="3:29" ht="12.75">
      <c r="C97" s="32">
        <f>B97*AD97</f>
        <v>0</v>
      </c>
      <c r="E97" s="32">
        <f>D97*AD97</f>
        <v>0</v>
      </c>
      <c r="AC97" s="32">
        <f>B97+D97+F97+H97+J97+L97+N97</f>
        <v>0</v>
      </c>
    </row>
    <row r="98" spans="3:29" ht="12.75">
      <c r="C98" s="32">
        <f>B98*AD98</f>
        <v>0</v>
      </c>
      <c r="AC98" s="32">
        <f>B98+D98+F98+H98+J98+L98+N98</f>
        <v>0</v>
      </c>
    </row>
    <row r="99" spans="3:29" ht="12.75">
      <c r="C99" s="32">
        <f>B99*AD99</f>
        <v>0</v>
      </c>
      <c r="AC99" s="32">
        <f>B99+D99+F99+H99+J99+L99+N99</f>
        <v>0</v>
      </c>
    </row>
    <row r="100" spans="3:29" ht="12.75">
      <c r="C100" s="32">
        <f>B100*AD100</f>
        <v>0</v>
      </c>
      <c r="AC100" s="32">
        <f>B100+D100+F100+H100+J100+L100+N100</f>
        <v>0</v>
      </c>
    </row>
    <row r="101" spans="3:29" ht="12.75">
      <c r="C101" s="32">
        <f>B101*AD101</f>
        <v>0</v>
      </c>
      <c r="AC101" s="32">
        <f>B101+D101+F101+H101+J101+L101+N101</f>
        <v>0</v>
      </c>
    </row>
    <row r="102" spans="3:29" ht="12.75">
      <c r="C102" s="32">
        <f>B102*AD102</f>
        <v>0</v>
      </c>
      <c r="AC102" s="32">
        <f>B102+D102+F102+H102+J102+L102+N102</f>
        <v>0</v>
      </c>
    </row>
    <row r="103" spans="3:29" ht="12.75">
      <c r="C103" s="32">
        <f>B103*AD103</f>
        <v>0</v>
      </c>
      <c r="AC103" s="32">
        <f>B103+D103+F103+H103+J103+L103+N103</f>
        <v>0</v>
      </c>
    </row>
    <row r="104" spans="3:29" ht="12.75">
      <c r="C104" s="32">
        <f>B104*AD104</f>
        <v>0</v>
      </c>
      <c r="AC104" s="32">
        <f>B104+D104+F104+H104+J104+L104+N104</f>
        <v>0</v>
      </c>
    </row>
    <row r="105" spans="3:29" ht="12.75">
      <c r="C105" s="32">
        <f>B105*AD105</f>
        <v>0</v>
      </c>
      <c r="AC105" s="32">
        <f>B105+D105+F105+H105+J105+L105+N105</f>
        <v>0</v>
      </c>
    </row>
    <row r="106" spans="3:29" ht="12.75">
      <c r="C106" s="32">
        <f>B106*AD106</f>
        <v>0</v>
      </c>
      <c r="AC106" s="32">
        <f>B106+D106+F106+H106+J106+L106+N106</f>
        <v>0</v>
      </c>
    </row>
    <row r="107" spans="3:29" ht="12.75">
      <c r="C107" s="32">
        <f>B107*AD107</f>
        <v>0</v>
      </c>
      <c r="AC107" s="32">
        <f>B107+D107+F107+H107+J107+L107+N107</f>
        <v>0</v>
      </c>
    </row>
    <row r="108" spans="3:29" ht="12.75">
      <c r="C108" s="32">
        <f>B108*AD108</f>
        <v>0</v>
      </c>
      <c r="AC108" s="32">
        <f>B108+D108+F108+H108+J108+L108+N108</f>
        <v>0</v>
      </c>
    </row>
    <row r="109" spans="3:29" ht="12.75">
      <c r="C109" s="32">
        <f>B109*AD109</f>
        <v>0</v>
      </c>
      <c r="AC109" s="32">
        <f>B109+D109+F109+H109+J109+L109+N109</f>
        <v>0</v>
      </c>
    </row>
    <row r="110" spans="3:29" ht="12.75">
      <c r="C110" s="32">
        <f>B110*AD110</f>
        <v>0</v>
      </c>
      <c r="AC110" s="32">
        <f>B110+D110+F110+H110+J110+L110+N110</f>
        <v>0</v>
      </c>
    </row>
    <row r="111" spans="3:29" ht="12.75">
      <c r="C111" s="32">
        <f>B111*AD111</f>
        <v>0</v>
      </c>
      <c r="AC111" s="32">
        <f>B111+D111+F111+H111+J111+L111+N111</f>
        <v>0</v>
      </c>
    </row>
    <row r="112" spans="3:29" ht="12.75">
      <c r="C112" s="32">
        <f>B112*AD112</f>
        <v>0</v>
      </c>
      <c r="AC112" s="32">
        <f>B112+D112+F112+H112+J112+L112+N112</f>
        <v>0</v>
      </c>
    </row>
    <row r="113" spans="3:29" ht="12.75">
      <c r="C113" s="32">
        <f>B113*AD113</f>
        <v>0</v>
      </c>
      <c r="AC113" s="32">
        <f>B113+D113+F113+H113+J113+L113+N113</f>
        <v>0</v>
      </c>
    </row>
    <row r="114" spans="3:29" ht="12.75">
      <c r="C114" s="32">
        <f>B114*AD114</f>
        <v>0</v>
      </c>
      <c r="AC114" s="32">
        <f>B114+D114+F114+H114+J114+L114+N114</f>
        <v>0</v>
      </c>
    </row>
    <row r="115" spans="3:29" ht="12.75">
      <c r="C115" s="32">
        <f>B115*AD115</f>
        <v>0</v>
      </c>
      <c r="AC115" s="32">
        <f>B115+D115+F115+H115+J115+L115+N115</f>
        <v>0</v>
      </c>
    </row>
    <row r="116" spans="3:29" ht="12.75">
      <c r="C116" s="32">
        <f>B116*AD116</f>
        <v>0</v>
      </c>
      <c r="AC116" s="32">
        <f>B116+D116+F116+H116+J116+L116+N116</f>
        <v>0</v>
      </c>
    </row>
    <row r="117" spans="3:29" ht="12.75">
      <c r="C117" s="32">
        <f>B117*AD117</f>
        <v>0</v>
      </c>
      <c r="AC117" s="32">
        <f>B117+D117+F117+H117+J117+L117+N117</f>
        <v>0</v>
      </c>
    </row>
    <row r="118" spans="3:29" ht="12.75">
      <c r="C118" s="32">
        <f>B118*AD118</f>
        <v>0</v>
      </c>
      <c r="AC118" s="32">
        <f>B118+D118+F118+H118+J118+L118+N118</f>
        <v>0</v>
      </c>
    </row>
    <row r="119" spans="3:29" ht="12.75">
      <c r="C119" s="32">
        <f>B119*AD119</f>
        <v>0</v>
      </c>
      <c r="AC119" s="32">
        <f>B119+D119+F119+H119+J119+L119+N119</f>
        <v>0</v>
      </c>
    </row>
    <row r="120" spans="3:29" ht="12.75">
      <c r="C120" s="32">
        <f>B120*AD120</f>
        <v>0</v>
      </c>
      <c r="AC120" s="32">
        <f>B120+D120+F120+H120+J120+L120+N120</f>
        <v>0</v>
      </c>
    </row>
    <row r="121" spans="3:29" ht="12.75">
      <c r="C121" s="32">
        <f>B121*AD121</f>
        <v>0</v>
      </c>
      <c r="AC121" s="32">
        <f>B121+D121+F121+H121+J121+L121+N121</f>
        <v>0</v>
      </c>
    </row>
    <row r="122" spans="3:29" ht="12.75">
      <c r="C122" s="32">
        <f>B122*AD122</f>
        <v>0</v>
      </c>
      <c r="AC122" s="32">
        <f>B122+D122+F122+H122+J122+L122+N122</f>
        <v>0</v>
      </c>
    </row>
    <row r="123" spans="3:29" ht="12.75">
      <c r="C123" s="32">
        <f>B123*AD123</f>
        <v>0</v>
      </c>
      <c r="AC123" s="32">
        <f>B123+D123+F123+H123+J123+L123+N123</f>
        <v>0</v>
      </c>
    </row>
    <row r="124" spans="3:29" ht="12.75">
      <c r="C124" s="32">
        <f>B124*AD124</f>
        <v>0</v>
      </c>
      <c r="AC124" s="32">
        <f>B124+D124+F124+H124+J124+L124+N124</f>
        <v>0</v>
      </c>
    </row>
    <row r="125" spans="3:29" ht="12.75">
      <c r="C125" s="32">
        <f>B125*AD125</f>
        <v>0</v>
      </c>
      <c r="AC125" s="32">
        <f>B125+D125+F125+H125+J125+L125+N125</f>
        <v>0</v>
      </c>
    </row>
    <row r="126" spans="3:29" ht="12.75">
      <c r="C126" s="32">
        <f>B126*AD126</f>
        <v>0</v>
      </c>
      <c r="AC126" s="32">
        <f>B126+D126+F126+H126+J126+L126+N126</f>
        <v>0</v>
      </c>
    </row>
    <row r="127" spans="3:29" ht="12.75">
      <c r="C127" s="32">
        <f>B127*AD127</f>
        <v>0</v>
      </c>
      <c r="AC127" s="32">
        <f>B127+D127+F127+H127+J127+L127+N127</f>
        <v>0</v>
      </c>
    </row>
    <row r="128" spans="3:29" ht="12.75">
      <c r="C128" s="32">
        <f>B128*AD128</f>
        <v>0</v>
      </c>
      <c r="AC128" s="32">
        <f>B128+D128+F128+H128+J128+L128+N128</f>
        <v>0</v>
      </c>
    </row>
    <row r="129" spans="3:29" ht="12.75">
      <c r="C129" s="32">
        <f>B129*AD129</f>
        <v>0</v>
      </c>
      <c r="AC129" s="32">
        <f>B129+D129+F129+H129+J129+L129+N129</f>
        <v>0</v>
      </c>
    </row>
    <row r="130" spans="3:29" ht="12.75">
      <c r="C130" s="32">
        <f>B130*AD130</f>
        <v>0</v>
      </c>
      <c r="AC130" s="32">
        <f>B130+D130+F130+H130+J130+L130+N130</f>
        <v>0</v>
      </c>
    </row>
    <row r="131" spans="3:29" ht="12.75">
      <c r="C131" s="32">
        <f>B131*AD131</f>
        <v>0</v>
      </c>
      <c r="AC131" s="32">
        <f>B131+D131+F131+H131+J131+L131+N131</f>
        <v>0</v>
      </c>
    </row>
    <row r="132" spans="3:29" ht="12.75">
      <c r="C132" s="32">
        <f>B132*AD132</f>
        <v>0</v>
      </c>
      <c r="AC132" s="32">
        <f>B132+D132+F132+H132+J132+L132+N132</f>
        <v>0</v>
      </c>
    </row>
    <row r="133" spans="3:29" ht="12.75">
      <c r="C133" s="32">
        <f>B133*AD133</f>
        <v>0</v>
      </c>
      <c r="AC133" s="32">
        <f>B133+D133+F133+H133+J133+L133+N133</f>
        <v>0</v>
      </c>
    </row>
    <row r="134" ht="12.75">
      <c r="AC134" s="32">
        <f>B134+D134+F134+H134+J134+L134+N134</f>
        <v>0</v>
      </c>
    </row>
    <row r="135" ht="12.75">
      <c r="AC135" s="32">
        <f>B135+D135+F135+H135+J135+L135+N135</f>
        <v>0</v>
      </c>
    </row>
    <row r="136" ht="12.75">
      <c r="AC136" s="32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2017-08-08T12:18:32Z</dcterms:created>
  <dcterms:modified xsi:type="dcterms:W3CDTF">2018-11-05T09:38:42Z</dcterms:modified>
  <cp:category/>
  <cp:version/>
  <cp:contentType/>
  <cp:contentStatus/>
  <cp:revision>1559</cp:revision>
</cp:coreProperties>
</file>