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8"/>
  </bookViews>
  <sheets>
    <sheet name="Ganhos" sheetId="1" r:id="rId1"/>
    <sheet name="Geral" sheetId="2" r:id="rId2"/>
    <sheet name="Jan_2017" sheetId="3" r:id="rId3"/>
    <sheet name="Fev_2017" sheetId="4" r:id="rId4"/>
    <sheet name="Mar_2017" sheetId="5" r:id="rId5"/>
    <sheet name="Abr_2017" sheetId="6" r:id="rId6"/>
    <sheet name="Mai_2017" sheetId="7" r:id="rId7"/>
    <sheet name="Jun_2017" sheetId="8" r:id="rId8"/>
    <sheet name="Jul_2017" sheetId="9" r:id="rId9"/>
    <sheet name="Ago_2017" sheetId="10" r:id="rId10"/>
    <sheet name="Set_2017" sheetId="11" r:id="rId11"/>
    <sheet name="Out_2017" sheetId="12" r:id="rId12"/>
    <sheet name="Nov_2017" sheetId="13" r:id="rId13"/>
    <sheet name="Dez_2017" sheetId="14" r:id="rId14"/>
  </sheets>
  <definedNames>
    <definedName name="_xlfn.COUNTIFS" hidden="1">#NAME?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J2" authorId="0">
      <text>
        <r>
          <rPr>
            <sz val="10"/>
            <color indexed="8"/>
            <rFont val="Arial"/>
            <family val="2"/>
          </rPr>
          <t xml:space="preserve">4 garrafas de cerveja 1,2L
</t>
        </r>
        <r>
          <rPr>
            <sz val="11"/>
            <color indexed="8"/>
            <rFont val="Arial"/>
            <family val="2"/>
          </rPr>
          <t/>
        </r>
      </text>
    </comment>
    <comment ref="B4" authorId="0">
      <text>
        <r>
          <rPr>
            <sz val="10"/>
            <color indexed="8"/>
            <rFont val="Arial"/>
            <family val="2"/>
          </rPr>
          <t>Passagem de ônibus interna em Playa del Carmen e passagens de ônibus para ir para Akumal.
Para voltar conseguimos carona</t>
        </r>
      </text>
    </comment>
    <comment ref="B5" authorId="0">
      <text>
        <r>
          <rPr>
            <sz val="10"/>
            <color indexed="8"/>
            <rFont val="Arial"/>
            <family val="2"/>
          </rPr>
          <t>Passagem para a estação de ônibus (2*5), passagens de ida para o cenote dos ojos (2*45) e passagens de volta para Playa del Carmen (2*40)</t>
        </r>
      </text>
    </comment>
    <comment ref="F5" authorId="0">
      <text>
        <r>
          <rPr>
            <sz val="10"/>
            <color indexed="8"/>
            <rFont val="Arial"/>
            <family val="2"/>
          </rPr>
          <t>Dois "tamales" em uma barraquinha de rua</t>
        </r>
      </text>
    </comment>
    <comment ref="L6" authorId="0">
      <text>
        <r>
          <rPr>
            <sz val="10"/>
            <color indexed="8"/>
            <rFont val="Arial"/>
            <family val="2"/>
          </rPr>
          <t>Continuamos de AirBnb, mas negociamos de pagar uns dias mais por fora</t>
        </r>
      </text>
    </comment>
    <comment ref="B11" authorId="0">
      <text>
        <r>
          <rPr>
            <sz val="11"/>
            <color indexed="8"/>
            <rFont val="Arial"/>
            <family val="2"/>
          </rPr>
          <t>Passagens de ônibus de Playa a Cancun (40 cada um), 2 passagens de ônibus interno em Cozumel e duas internas em Cancun</t>
        </r>
      </text>
    </comment>
    <comment ref="B12" authorId="0">
      <text>
        <r>
          <rPr>
            <sz val="11"/>
            <color indexed="8"/>
            <rFont val="Arial"/>
            <family val="2"/>
          </rPr>
          <t>Ônibus dentro de Cancun</t>
        </r>
      </text>
    </comment>
    <comment ref="N12" authorId="0">
      <text>
        <r>
          <rPr>
            <sz val="11"/>
            <color indexed="8"/>
            <rFont val="Arial"/>
            <family val="2"/>
          </rPr>
          <t>Tivemos que comprar um computador novo, pois o nosso queimou</t>
        </r>
      </text>
    </comment>
    <comment ref="B13" authorId="0">
      <text>
        <r>
          <rPr>
            <sz val="11"/>
            <color indexed="8"/>
            <rFont val="Arial"/>
            <family val="2"/>
          </rPr>
          <t>Passagens dos ônibus que levam às praias de Cancún</t>
        </r>
      </text>
    </comment>
    <comment ref="B16" authorId="0">
      <text>
        <r>
          <rPr>
            <sz val="11"/>
            <color indexed="8"/>
            <rFont val="Arial"/>
            <family val="2"/>
          </rPr>
          <t>2 passagens de ida e de volta para as praias</t>
        </r>
      </text>
    </comment>
    <comment ref="J16" authorId="0">
      <text>
        <r>
          <rPr>
            <sz val="11"/>
            <color indexed="8"/>
            <rFont val="Arial"/>
            <family val="2"/>
          </rPr>
          <t>Duas paletas na rua</t>
        </r>
      </text>
    </comment>
    <comment ref="B18" authorId="0">
      <text>
        <r>
          <rPr>
            <sz val="11"/>
            <color indexed="8"/>
            <rFont val="Arial"/>
            <family val="2"/>
          </rPr>
          <t>Ida e volta da praia + ônibus para mudarmos de airbnb</t>
        </r>
      </text>
    </comment>
    <comment ref="F19" authorId="0">
      <text>
        <r>
          <rPr>
            <sz val="11"/>
            <color indexed="8"/>
            <rFont val="Arial"/>
            <family val="2"/>
          </rPr>
          <t>Dois almoços em um restaurante chinês</t>
        </r>
      </text>
    </comment>
    <comment ref="B20" authorId="0">
      <text>
        <r>
          <rPr>
            <sz val="11"/>
            <color indexed="8"/>
            <rFont val="Arial"/>
            <family val="2"/>
          </rPr>
          <t>40 – passagens de van de Cancún até Playa del Carmen (para voltar conseguimos um ônibus por 34) e van de Playa até o Rio Secreto</t>
        </r>
      </text>
    </comment>
    <comment ref="H27" authorId="0">
      <text>
        <r>
          <rPr>
            <sz val="11"/>
            <color indexed="8"/>
            <rFont val="Arial"/>
            <family val="2"/>
          </rPr>
          <t>Gorjeta para o pessoal do barco</t>
        </r>
      </text>
    </comment>
    <comment ref="H28" authorId="0">
      <text>
        <r>
          <rPr>
            <sz val="11"/>
            <color indexed="8"/>
            <rFont val="Arial"/>
            <family val="2"/>
          </rPr>
          <t>Ganhamos o passeio de catamarã (o preço normal é 70 dólares), mas tivemos que pagar os 12 dólares para usar a marina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Passagens de Cancún para Valladolid</t>
        </r>
      </text>
    </comment>
    <comment ref="F30" authorId="0">
      <text>
        <r>
          <rPr>
            <sz val="11"/>
            <color indexed="8"/>
            <rFont val="Arial"/>
            <family val="2"/>
          </rPr>
          <t>Dois almoços em um restaurante chinês</t>
        </r>
      </text>
    </comment>
    <comment ref="L30" authorId="0">
      <text>
        <r>
          <rPr>
            <sz val="11"/>
            <color indexed="8"/>
            <rFont val="Arial"/>
            <family val="2"/>
          </rPr>
          <t>Conseguimos hospedagem gratuita em troca de divulgar Valladolid</t>
        </r>
      </text>
    </comment>
    <comment ref="B31" authorId="0">
      <text>
        <r>
          <rPr>
            <sz val="11"/>
            <color indexed="8"/>
            <rFont val="Arial"/>
            <family val="2"/>
          </rPr>
          <t>Ida e volta para Chichén Itzá – fomos em van e voltamos em ônibus</t>
        </r>
      </text>
    </comment>
    <comment ref="H31" authorId="0">
      <text>
        <r>
          <rPr>
            <sz val="11"/>
            <color indexed="8"/>
            <rFont val="Arial"/>
            <family val="2"/>
          </rPr>
          <t>Entradas para Chichén Itzá</t>
        </r>
      </text>
    </comment>
    <comment ref="H32" authorId="0">
      <text>
        <r>
          <rPr>
            <sz val="11"/>
            <color indexed="8"/>
            <rFont val="Arial"/>
            <family val="2"/>
          </rPr>
          <t>Entradas para o cenote de Valladolid</t>
        </r>
      </text>
    </comment>
    <comment ref="J32" authorId="0">
      <text>
        <r>
          <rPr>
            <sz val="11"/>
            <color indexed="8"/>
            <rFont val="Arial"/>
            <family val="2"/>
          </rPr>
          <t>Comemos duas paletas</t>
        </r>
      </text>
    </comment>
    <comment ref="F33" authorId="0">
      <text>
        <r>
          <rPr>
            <sz val="11"/>
            <color indexed="8"/>
            <rFont val="Arial"/>
            <family val="2"/>
          </rPr>
          <t>Dois almoços no mercado e 1 refrigerante</t>
        </r>
      </text>
    </comment>
    <comment ref="L33" authorId="0">
      <text>
        <r>
          <rPr>
            <sz val="11"/>
            <color indexed="8"/>
            <rFont val="Arial"/>
            <family val="2"/>
          </rPr>
          <t>Conseguimos um hotel grátis em Mérida por 3 noites para escrever sobre a cidade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2" authorId="0">
      <text>
        <r>
          <rPr>
            <sz val="11"/>
            <color indexed="8"/>
            <rFont val="Arial"/>
            <family val="2"/>
          </rPr>
          <t>1 almoço e 1 refri no mercado; a Michele não almoçou</t>
        </r>
      </text>
    </comment>
    <comment ref="L2" authorId="0">
      <text>
        <r>
          <rPr>
            <sz val="11"/>
            <color indexed="8"/>
            <rFont val="Arial"/>
            <family val="2"/>
          </rPr>
          <t>Conseguimos hospedagem grátis para escrever de Mérida</t>
        </r>
      </text>
    </comment>
    <comment ref="B3" authorId="0">
      <text>
        <r>
          <rPr>
            <sz val="11"/>
            <color indexed="8"/>
            <rFont val="Arial"/>
            <family val="2"/>
          </rPr>
          <t>Passagens para ir e voltar de Izamal</t>
        </r>
      </text>
    </comment>
    <comment ref="F3" authorId="0">
      <text>
        <r>
          <rPr>
            <sz val="11"/>
            <color indexed="8"/>
            <rFont val="Arial"/>
            <family val="2"/>
          </rPr>
          <t>Dois almoços e um refrigerante em Izamal</t>
        </r>
      </text>
    </comment>
    <comment ref="H3" authorId="0">
      <text>
        <r>
          <rPr>
            <sz val="11"/>
            <color indexed="8"/>
            <rFont val="Arial"/>
            <family val="2"/>
          </rPr>
          <t xml:space="preserve">Entrada em um museu da igreja em Izamal
</t>
        </r>
      </text>
    </comment>
    <comment ref="J3" authorId="0">
      <text>
        <r>
          <rPr>
            <sz val="11"/>
            <color indexed="8"/>
            <rFont val="Arial"/>
            <family val="2"/>
          </rPr>
          <t>Duas entradas em um banheiro público</t>
        </r>
      </text>
    </comment>
    <comment ref="J5" authorId="0">
      <text>
        <r>
          <rPr>
            <sz val="11"/>
            <color indexed="8"/>
            <rFont val="Arial"/>
            <family val="2"/>
          </rPr>
          <t>Remédio para dor de barriga</t>
        </r>
      </text>
    </comment>
    <comment ref="J8" authorId="0">
      <text>
        <r>
          <rPr>
            <sz val="11"/>
            <color indexed="8"/>
            <rFont val="Arial"/>
            <family val="2"/>
          </rPr>
          <t>Tomamos um sorvete na praça</t>
        </r>
      </text>
    </comment>
    <comment ref="B9" authorId="0">
      <text>
        <r>
          <rPr>
            <sz val="11"/>
            <color indexed="8"/>
            <rFont val="Arial"/>
            <family val="2"/>
          </rPr>
          <t>Passagens de Mérida a Campeche+passagen de ônibus local em Campeche</t>
        </r>
      </text>
    </comment>
    <comment ref="L9" authorId="0">
      <text>
        <r>
          <rPr>
            <sz val="11"/>
            <color indexed="8"/>
            <rFont val="Arial"/>
            <family val="2"/>
          </rPr>
          <t>Nos deram um bom desconto no hotel</t>
        </r>
      </text>
    </comment>
    <comment ref="J10" authorId="0">
      <text>
        <r>
          <rPr>
            <sz val="11"/>
            <color indexed="8"/>
            <rFont val="Arial"/>
            <family val="2"/>
          </rPr>
          <t>Compramos um pirulito de um vendedor de rua</t>
        </r>
      </text>
    </comment>
    <comment ref="B12" authorId="0">
      <text>
        <r>
          <rPr>
            <sz val="11"/>
            <color indexed="8"/>
            <rFont val="Arial"/>
            <family val="2"/>
          </rPr>
          <t>Duas passagens de Campeche para Escárcega</t>
        </r>
      </text>
    </comment>
    <comment ref="B13" authorId="0">
      <text>
        <r>
          <rPr>
            <sz val="11"/>
            <color indexed="8"/>
            <rFont val="Arial"/>
            <family val="2"/>
          </rPr>
          <t>Pasagens de Escárcega ao cruzamento e do cruzamento até Palenque</t>
        </r>
      </text>
    </comment>
    <comment ref="B14" authorId="0">
      <text>
        <r>
          <rPr>
            <sz val="11"/>
            <color indexed="8"/>
            <rFont val="Arial"/>
            <family val="2"/>
          </rPr>
          <t xml:space="preserve">Transporte de Palenque até San Cristóbal + ônibus local em San Cristobal
</t>
        </r>
      </text>
    </comment>
    <comment ref="J14" authorId="0">
      <text>
        <r>
          <rPr>
            <sz val="11"/>
            <color indexed="8"/>
            <rFont val="Arial"/>
            <family val="2"/>
          </rPr>
          <t>Batatas-fritas na rua</t>
        </r>
      </text>
    </comment>
    <comment ref="J16" authorId="0">
      <text>
        <r>
          <rPr>
            <sz val="11"/>
            <color indexed="8"/>
            <rFont val="Arial"/>
            <family val="2"/>
          </rPr>
          <t>Compramos cervejas. Três garrafas de 1,2 litros</t>
        </r>
      </text>
    </comment>
    <comment ref="J18" authorId="0">
      <text>
        <r>
          <rPr>
            <sz val="11"/>
            <color indexed="8"/>
            <rFont val="Arial"/>
            <family val="2"/>
          </rPr>
          <t>Remédio para a Michele (dengue)</t>
        </r>
      </text>
    </comment>
    <comment ref="U19" authorId="0">
      <text>
        <r>
          <rPr>
            <sz val="11"/>
            <color indexed="8"/>
            <rFont val="Arial"/>
            <family val="2"/>
          </rPr>
          <t>Na verdade continuamos na casa do AirBnb, mas o dono ia viajar e nos deixou ficar cuidando da casa e recebendo outros hóspedes de graça</t>
        </r>
      </text>
    </comment>
    <comment ref="J21" authorId="0">
      <text>
        <r>
          <rPr>
            <sz val="11"/>
            <color indexed="8"/>
            <rFont val="Arial"/>
            <family val="2"/>
          </rPr>
          <t>Fomos em um bar com uns brasileiros que conhecemos. 
Os 20 pesos demos de ajuda a umas crianças que engraxavam sapatos.
10 pesos para encher um garrafão de água</t>
        </r>
      </text>
    </comment>
    <comment ref="J22" authorId="0">
      <text>
        <r>
          <rPr>
            <sz val="11"/>
            <color indexed="8"/>
            <rFont val="Arial"/>
            <family val="2"/>
          </rPr>
          <t>Compramos três cervejas</t>
        </r>
      </text>
    </comment>
    <comment ref="B26" authorId="0">
      <text>
        <r>
          <rPr>
            <sz val="11"/>
            <color indexed="8"/>
            <rFont val="Arial"/>
            <family val="2"/>
          </rPr>
          <t>Para ir e voltar de van da Cruz Vermelha</t>
        </r>
      </text>
    </comment>
    <comment ref="J27" authorId="0">
      <text>
        <r>
          <rPr>
            <sz val="11"/>
            <color indexed="8"/>
            <rFont val="Arial"/>
            <family val="2"/>
          </rPr>
          <t>Remédio para a Michele</t>
        </r>
      </text>
    </comment>
    <comment ref="J28" authorId="0">
      <text>
        <r>
          <rPr>
            <sz val="11"/>
            <color indexed="8"/>
            <rFont val="Arial"/>
            <family val="2"/>
          </rPr>
          <t>lavanderia</t>
        </r>
      </text>
    </comment>
    <comment ref="B30" authorId="0">
      <text>
        <r>
          <rPr>
            <sz val="11"/>
            <color indexed="8"/>
            <rFont val="Arial"/>
            <family val="2"/>
          </rPr>
          <t>Duas passagens de ônibus para a Cidade do México. Compramos adiantado</t>
        </r>
      </text>
    </comment>
    <comment ref="B31" authorId="0">
      <text>
        <r>
          <rPr>
            <sz val="11"/>
            <color indexed="8"/>
            <rFont val="Arial"/>
            <family val="2"/>
          </rPr>
          <t>Passagens de táxi compartilhado para ir e voltar de Oventic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color indexed="8"/>
            <rFont val="Arial"/>
            <family val="2"/>
          </rPr>
          <t>Transporte de ida e volta para Chamula</t>
        </r>
      </text>
    </comment>
    <comment ref="H2" authorId="0">
      <text>
        <r>
          <rPr>
            <sz val="11"/>
            <color indexed="8"/>
            <rFont val="Arial"/>
            <family val="2"/>
          </rPr>
          <t>Entradas para a igreja de Chamula</t>
        </r>
      </text>
    </comment>
    <comment ref="J2" authorId="0">
      <text>
        <r>
          <rPr>
            <sz val="11"/>
            <color indexed="8"/>
            <rFont val="Arial"/>
            <family val="2"/>
          </rPr>
          <t>Gorjeta para um menino que engraxava sapatos</t>
        </r>
      </text>
    </comment>
    <comment ref="J4" authorId="0">
      <text>
        <r>
          <rPr>
            <sz val="11"/>
            <color indexed="8"/>
            <rFont val="Arial"/>
            <family val="2"/>
          </rPr>
          <t>2 banheiros públicos</t>
        </r>
      </text>
    </comment>
    <comment ref="B5" authorId="0">
      <text>
        <r>
          <rPr>
            <sz val="11"/>
            <color indexed="8"/>
            <rFont val="Arial"/>
            <family val="2"/>
          </rPr>
          <t>Duas passagens de metrô na Cidade do México</t>
        </r>
      </text>
    </comment>
    <comment ref="B7" authorId="0">
      <text>
        <r>
          <rPr>
            <sz val="11"/>
            <color indexed="8"/>
            <rFont val="Arial"/>
            <family val="2"/>
          </rPr>
          <t>Passagens de ônibus e metrô</t>
        </r>
      </text>
    </comment>
    <comment ref="F7" authorId="0">
      <text>
        <r>
          <rPr>
            <sz val="11"/>
            <color indexed="8"/>
            <rFont val="Arial"/>
            <family val="2"/>
          </rPr>
          <t>Comemos três tacos na rua</t>
        </r>
      </text>
    </comment>
    <comment ref="J7" authorId="0">
      <text>
        <r>
          <rPr>
            <sz val="11"/>
            <color indexed="8"/>
            <rFont val="Arial"/>
            <family val="2"/>
          </rPr>
          <t>Tomamos um café e umas bebidas com uns amigos que conhecemos</t>
        </r>
      </text>
    </comment>
    <comment ref="B8" authorId="0">
      <text>
        <r>
          <rPr>
            <sz val="11"/>
            <color indexed="8"/>
            <rFont val="Arial"/>
            <family val="2"/>
          </rPr>
          <t>Duas passagens de metrô</t>
        </r>
      </text>
    </comment>
    <comment ref="J8" authorId="0">
      <text>
        <r>
          <rPr>
            <sz val="11"/>
            <color indexed="8"/>
            <rFont val="Arial"/>
            <family val="2"/>
          </rPr>
          <t>Sanduíche na rua</t>
        </r>
      </text>
    </comment>
    <comment ref="B9" authorId="0">
      <text>
        <r>
          <rPr>
            <sz val="11"/>
            <color indexed="8"/>
            <rFont val="Arial"/>
            <family val="2"/>
          </rPr>
          <t>O passagens de metrô e duas de ônibus</t>
        </r>
      </text>
    </comment>
    <comment ref="J9" authorId="0">
      <text>
        <r>
          <rPr>
            <sz val="11"/>
            <color indexed="8"/>
            <rFont val="Arial"/>
            <family val="2"/>
          </rPr>
          <t>Porção de 5 tacos que comemos na rua</t>
        </r>
      </text>
    </comment>
    <comment ref="D10" authorId="0">
      <text>
        <r>
          <rPr>
            <sz val="11"/>
            <color indexed="8"/>
            <rFont val="Arial"/>
            <family val="2"/>
          </rPr>
          <t>Compramos algumas roupas novas</t>
        </r>
      </text>
    </comment>
    <comment ref="L10" authorId="0">
      <text>
        <r>
          <rPr>
            <sz val="11"/>
            <color indexed="8"/>
            <rFont val="Arial"/>
            <family val="2"/>
          </rPr>
          <t>Continuamos na mesma casa do AirBnb, mas como esticamos a reserva ganhamos descontos</t>
        </r>
      </text>
    </comment>
    <comment ref="J11" authorId="0">
      <text>
        <r>
          <rPr>
            <sz val="11"/>
            <color indexed="8"/>
            <rFont val="Arial"/>
            <family val="2"/>
          </rPr>
          <t>Livro da Ásia</t>
        </r>
      </text>
    </comment>
    <comment ref="B12" authorId="0">
      <text>
        <r>
          <rPr>
            <sz val="11"/>
            <color indexed="8"/>
            <rFont val="Arial"/>
            <family val="2"/>
          </rPr>
          <t>10 passagens de metrô</t>
        </r>
      </text>
    </comment>
    <comment ref="J12" authorId="0">
      <text>
        <r>
          <rPr>
            <sz val="11"/>
            <color indexed="8"/>
            <rFont val="Arial"/>
            <family val="2"/>
          </rPr>
          <t>5 tacos na rua</t>
        </r>
      </text>
    </comment>
    <comment ref="B13" authorId="0">
      <text>
        <r>
          <rPr>
            <sz val="11"/>
            <color indexed="8"/>
            <rFont val="Arial"/>
            <family val="2"/>
          </rPr>
          <t>Passagens de ida a volta a Teotihuacán</t>
        </r>
      </text>
    </comment>
    <comment ref="H13" authorId="0">
      <text>
        <r>
          <rPr>
            <sz val="11"/>
            <color indexed="8"/>
            <rFont val="Arial"/>
            <family val="2"/>
          </rPr>
          <t>Duas entradas a Teotihuacán</t>
        </r>
      </text>
    </comment>
    <comment ref="J13" authorId="0">
      <text>
        <r>
          <rPr>
            <sz val="11"/>
            <color indexed="8"/>
            <rFont val="Arial"/>
            <family val="2"/>
          </rPr>
          <t>Fomos em um bar tomar cerveja com um brasileiro que conhecemos</t>
        </r>
      </text>
    </comment>
    <comment ref="B15" authorId="0">
      <text>
        <r>
          <rPr>
            <sz val="11"/>
            <color indexed="8"/>
            <rFont val="Arial"/>
            <family val="2"/>
          </rPr>
          <t>10 Passes de metrô</t>
        </r>
      </text>
    </comment>
    <comment ref="J15" authorId="0">
      <text>
        <r>
          <rPr>
            <sz val="11"/>
            <color indexed="8"/>
            <rFont val="Arial"/>
            <family val="2"/>
          </rPr>
          <t>10 tacos na rua</t>
        </r>
      </text>
    </comment>
    <comment ref="H16" authorId="0">
      <text>
        <r>
          <rPr>
            <sz val="11"/>
            <color indexed="8"/>
            <rFont val="Arial"/>
            <family val="2"/>
          </rPr>
          <t>Fomos ao cinema. Preço de duas entradas</t>
        </r>
      </text>
    </comment>
    <comment ref="H18" authorId="0">
      <text>
        <r>
          <rPr>
            <sz val="11"/>
            <color indexed="8"/>
            <rFont val="Arial"/>
            <family val="2"/>
          </rPr>
          <t>2 entradas para o museu Trotsky, + 15 pesos para poder tirar fotos</t>
        </r>
      </text>
    </comment>
    <comment ref="H19" authorId="0">
      <text>
        <r>
          <rPr>
            <sz val="11"/>
            <color indexed="8"/>
            <rFont val="Arial"/>
            <family val="2"/>
          </rPr>
          <t>Cinema</t>
        </r>
      </text>
    </comment>
    <comment ref="F20" authorId="0">
      <text>
        <r>
          <rPr>
            <sz val="11"/>
            <color indexed="8"/>
            <rFont val="Arial"/>
            <family val="2"/>
          </rPr>
          <t>Comemos duas fatias de pizza na rua</t>
        </r>
      </text>
    </comment>
    <comment ref="F23" authorId="0">
      <text>
        <r>
          <rPr>
            <sz val="11"/>
            <color indexed="8"/>
            <rFont val="Arial"/>
            <family val="2"/>
          </rPr>
          <t>Dois almoços com suco no mercado</t>
        </r>
      </text>
    </comment>
    <comment ref="B24" authorId="0">
      <text>
        <r>
          <rPr>
            <sz val="11"/>
            <color indexed="8"/>
            <rFont val="Arial"/>
            <family val="2"/>
          </rPr>
          <t>Duas passagens para Puebla, 2 passagens de Puebla para Oaxaca (compramos adiantado pra ter desconto), 2 passagens de metrô em CDMX e mais 2 passagens de ônibus dentro de Puebla</t>
        </r>
      </text>
    </comment>
    <comment ref="B25" authorId="0">
      <text>
        <r>
          <rPr>
            <sz val="11"/>
            <color indexed="8"/>
            <rFont val="Arial"/>
            <family val="2"/>
          </rPr>
          <t xml:space="preserve">Passagens de ônibus para ir e voltar do vulcão </t>
        </r>
      </text>
    </comment>
    <comment ref="H25" authorId="0">
      <text>
        <r>
          <rPr>
            <sz val="11"/>
            <color indexed="8"/>
            <rFont val="Arial"/>
            <family val="2"/>
          </rPr>
          <t xml:space="preserve">Entradas para o vulcão Coexcomate (11 cada um), mais a gorjeta voluntária que demos a um guia </t>
        </r>
      </text>
    </comment>
    <comment ref="H26" authorId="0">
      <text>
        <r>
          <rPr>
            <sz val="11"/>
            <color indexed="8"/>
            <rFont val="Arial"/>
            <family val="2"/>
          </rPr>
          <t>Entradas para os túneis de Puebla</t>
        </r>
      </text>
    </comment>
    <comment ref="J26" authorId="0">
      <text>
        <r>
          <rPr>
            <sz val="11"/>
            <color indexed="8"/>
            <rFont val="Arial"/>
            <family val="2"/>
          </rPr>
          <t>Demos de colaboração no city tour</t>
        </r>
      </text>
    </comment>
    <comment ref="F27" authorId="0">
      <text>
        <r>
          <rPr>
            <sz val="11"/>
            <color indexed="8"/>
            <rFont val="Arial"/>
            <family val="2"/>
          </rPr>
          <t>8 tacos</t>
        </r>
      </text>
    </comment>
    <comment ref="H27" authorId="0">
      <text>
        <r>
          <rPr>
            <sz val="11"/>
            <color indexed="8"/>
            <rFont val="Arial"/>
            <family val="2"/>
          </rPr>
          <t>70 pesos: passe para entrada nos túneis, na zona arqueológica e em um museu de Cholula</t>
        </r>
      </text>
    </comment>
    <comment ref="J27" authorId="0">
      <text>
        <r>
          <rPr>
            <sz val="11"/>
            <color indexed="8"/>
            <rFont val="Arial"/>
            <family val="2"/>
          </rPr>
          <t>30 – Compramos grilo para comer (isso mesmo...)
10 – um pirulito pra ajudar
20 – gorjeta para os guias do passeio de Cholula
20 – Brincos para a Michele</t>
        </r>
      </text>
    </comment>
    <comment ref="B28" authorId="0">
      <text>
        <r>
          <rPr>
            <sz val="11"/>
            <color indexed="8"/>
            <rFont val="Arial"/>
            <family val="2"/>
          </rPr>
          <t>Ônibus para ir até a rodoviária de Puebla e outro para ir até o centro de Oaxaca</t>
        </r>
      </text>
    </comment>
    <comment ref="J28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B31" authorId="0">
      <text>
        <r>
          <rPr>
            <sz val="11"/>
            <color indexed="8"/>
            <rFont val="Arial"/>
            <family val="2"/>
          </rPr>
          <t>Passagens de ônibus locais + passagens para Puerto Escondido (compramos adiantado para pegar promoção)</t>
        </r>
      </text>
    </comment>
    <comment ref="J31" authorId="0">
      <text>
        <r>
          <rPr>
            <sz val="11"/>
            <color indexed="8"/>
            <rFont val="Arial"/>
            <family val="2"/>
          </rPr>
          <t>Gorjeta a uns músicos de rua</t>
        </r>
      </text>
    </comment>
    <comment ref="B32" authorId="0">
      <text>
        <r>
          <rPr>
            <sz val="11"/>
            <color indexed="8"/>
            <rFont val="Arial"/>
            <family val="2"/>
          </rPr>
          <t>Passagem de táxi compartilhado para Mitla; passagens de ida e volta para o Hierve el Água, passagem de ônibus de volta pra Oaxaca</t>
        </r>
      </text>
    </comment>
    <comment ref="H32" authorId="0">
      <text>
        <r>
          <rPr>
            <sz val="11"/>
            <color indexed="8"/>
            <rFont val="Arial"/>
            <family val="2"/>
          </rPr>
          <t>Entradas para o Hierve el Àgua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B4" authorId="0">
      <text>
        <r>
          <rPr>
            <sz val="11"/>
            <color indexed="8"/>
            <rFont val="Arial"/>
            <family val="2"/>
          </rPr>
          <t>Passagem de ônibus local até o terminal</t>
        </r>
      </text>
    </comment>
    <comment ref="J4" authorId="0">
      <text>
        <r>
          <rPr>
            <sz val="11"/>
            <color indexed="8"/>
            <rFont val="Arial"/>
            <family val="2"/>
          </rPr>
          <t>Banheiro do terminal</t>
        </r>
      </text>
    </comment>
    <comment ref="J5" authorId="0">
      <text>
        <r>
          <rPr>
            <sz val="11"/>
            <color indexed="8"/>
            <rFont val="Arial"/>
            <family val="2"/>
          </rPr>
          <t>Banheiro no terminal</t>
        </r>
      </text>
    </comment>
    <comment ref="B10" authorId="0">
      <text>
        <r>
          <rPr>
            <sz val="11"/>
            <color indexed="8"/>
            <rFont val="Arial"/>
            <family val="2"/>
          </rPr>
          <t>Passagens de ônibus dentro de Acapulco</t>
        </r>
      </text>
    </comment>
    <comment ref="H11" authorId="0">
      <text>
        <r>
          <rPr>
            <sz val="11"/>
            <color indexed="8"/>
            <rFont val="Arial"/>
            <family val="2"/>
          </rPr>
          <t xml:space="preserve">Duas entradas para o mirador de La Quebrada </t>
        </r>
      </text>
    </comment>
    <comment ref="L12" authorId="0">
      <text>
        <r>
          <rPr>
            <sz val="11"/>
            <color indexed="8"/>
            <rFont val="Arial"/>
            <family val="2"/>
          </rPr>
          <t>Continuamos no AirBnb, mas pagando diretamente ao proprietário deu um bom desconto</t>
        </r>
      </text>
    </comment>
    <comment ref="B13" authorId="0">
      <text>
        <r>
          <rPr>
            <sz val="11"/>
            <color indexed="8"/>
            <rFont val="Arial"/>
            <family val="2"/>
          </rPr>
          <t>Duas passagens de ônibus de Acapulco a Lázaro Cárdenas</t>
        </r>
      </text>
    </comment>
    <comment ref="H13" authorId="0">
      <text>
        <r>
          <rPr>
            <sz val="11"/>
            <color indexed="8"/>
            <rFont val="Arial"/>
            <family val="2"/>
          </rPr>
          <t>Banheiro no terminal de ônibus</t>
        </r>
      </text>
    </comment>
    <comment ref="B14" authorId="0">
      <text>
        <r>
          <rPr>
            <sz val="11"/>
            <color indexed="8"/>
            <rFont val="Arial"/>
            <family val="2"/>
          </rPr>
          <t>Passagens de ônibus para ir e voltar da Playa Azul</t>
        </r>
      </text>
    </comment>
    <comment ref="B15" authorId="0">
      <text>
        <r>
          <rPr>
            <sz val="11"/>
            <color indexed="8"/>
            <rFont val="Arial"/>
            <family val="2"/>
          </rPr>
          <t>Passagens de ônibus para a Playa Azul</t>
        </r>
      </text>
    </comment>
    <comment ref="U15" authorId="0">
      <text>
        <r>
          <rPr>
            <sz val="11"/>
            <color indexed="8"/>
            <rFont val="Arial"/>
            <family val="2"/>
          </rPr>
          <t>Demos uma ajuda no tortugário de Playa Azul e nos deixaram acampar lá</t>
        </r>
      </text>
    </comment>
    <comment ref="B16" authorId="0">
      <text>
        <r>
          <rPr>
            <sz val="11"/>
            <color indexed="8"/>
            <rFont val="Arial"/>
            <family val="2"/>
          </rPr>
          <t>Passagem de ônibus da Playa Azul a Lázaro Cárdenas e de Lázaro Cárdenas a Uruapan</t>
        </r>
      </text>
    </comment>
    <comment ref="J17" authorId="0">
      <text>
        <r>
          <rPr>
            <sz val="11"/>
            <color indexed="8"/>
            <rFont val="Arial"/>
            <family val="2"/>
          </rPr>
          <t>Sorvete</t>
        </r>
      </text>
    </comment>
    <comment ref="B18" authorId="0">
      <text>
        <r>
          <rPr>
            <sz val="11"/>
            <color indexed="8"/>
            <rFont val="Arial"/>
            <family val="2"/>
          </rPr>
          <t>Ônibus de Tangamandapio até Morelia</t>
        </r>
      </text>
    </comment>
    <comment ref="B21" authorId="0">
      <text>
        <r>
          <rPr>
            <sz val="11"/>
            <color indexed="8"/>
            <rFont val="Arial"/>
            <family val="2"/>
          </rPr>
          <t>Passagens para ir e voltar do Santuário das Borboletas</t>
        </r>
      </text>
    </comment>
    <comment ref="H21" authorId="0">
      <text>
        <r>
          <rPr>
            <sz val="11"/>
            <color indexed="8"/>
            <rFont val="Arial"/>
            <family val="2"/>
          </rPr>
          <t>Entradas para o Santuário das Mariposas e uma gorjeta ao guia</t>
        </r>
      </text>
    </comment>
    <comment ref="J21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B22" authorId="0">
      <text>
        <r>
          <rPr>
            <sz val="11"/>
            <color indexed="8"/>
            <rFont val="Arial"/>
            <family val="2"/>
          </rPr>
          <t>Passagem de Zitácuaro a CDMX</t>
        </r>
      </text>
    </comment>
    <comment ref="J23" authorId="0">
      <text>
        <r>
          <rPr>
            <sz val="11"/>
            <color indexed="8"/>
            <rFont val="Arial"/>
            <family val="2"/>
          </rPr>
          <t>Assistimos o filme “Coco” no cinema</t>
        </r>
      </text>
    </comment>
    <comment ref="J28" authorId="0">
      <text>
        <r>
          <rPr>
            <sz val="11"/>
            <color indexed="8"/>
            <rFont val="Arial"/>
            <family val="2"/>
          </rPr>
          <t>Renovamos nosso kit de primeiros socorros</t>
        </r>
      </text>
    </comment>
    <comment ref="B29" authorId="0">
      <text>
        <r>
          <rPr>
            <sz val="11"/>
            <color indexed="8"/>
            <rFont val="Arial"/>
            <family val="2"/>
          </rPr>
          <t>Táxi até o aeroporto, porque o UBER nos deixou na mão</t>
        </r>
      </text>
    </comment>
    <comment ref="B31" authorId="0">
      <text>
        <r>
          <rPr>
            <sz val="11"/>
            <color indexed="8"/>
            <rFont val="Arial"/>
            <family val="2"/>
          </rPr>
          <t>Não gastamos nada neste dia porque passamos ele inteiro viajando de avião</t>
        </r>
      </text>
    </comment>
    <comment ref="J32" authorId="0">
      <text>
        <r>
          <rPr>
            <sz val="11"/>
            <color indexed="8"/>
            <rFont val="Arial"/>
            <family val="2"/>
          </rPr>
          <t>Moedas que sobraram, gastamos na máquina de refrigetante</t>
        </r>
      </text>
    </comment>
    <comment ref="N32" authorId="0">
      <text>
        <r>
          <rPr>
            <sz val="11"/>
            <color indexed="8"/>
            <rFont val="Arial"/>
            <family val="2"/>
          </rPr>
          <t>Compramos uma GoPro</t>
        </r>
      </text>
    </comment>
    <comment ref="B33" authorId="0">
      <text>
        <r>
          <rPr>
            <sz val="11"/>
            <color indexed="8"/>
            <rFont val="Arial"/>
            <family val="2"/>
          </rPr>
          <t>Táxi do aeroporto até o nosso hotel</t>
        </r>
      </text>
    </comment>
    <comment ref="B35" authorId="0">
      <text>
        <r>
          <rPr>
            <sz val="11"/>
            <color indexed="8"/>
            <rFont val="Arial"/>
            <family val="2"/>
          </rPr>
          <t>Passagens aéreas internacionais: 
-R$2427 – México – Los Angeles
-R$ 1150 – Los Angeles – Filipinas
-R$428 – Filipinas - Malásia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N2" authorId="0">
      <text>
        <r>
          <rPr>
            <sz val="11"/>
            <color indexed="8"/>
            <rFont val="Arial"/>
            <family val="2"/>
          </rPr>
          <t>Compramos um pau de selfie pra GoPro e um chinelo</t>
        </r>
      </text>
    </comment>
    <comment ref="B4" authorId="0">
      <text>
        <r>
          <rPr>
            <sz val="11"/>
            <color indexed="8"/>
            <rFont val="Arial"/>
            <family val="2"/>
          </rPr>
          <t>Compramos passagem de barco para a ilha de Coron</t>
        </r>
      </text>
    </comment>
    <comment ref="J5" authorId="0">
      <text>
        <r>
          <rPr>
            <sz val="11"/>
            <color indexed="8"/>
            <rFont val="Arial"/>
            <family val="2"/>
          </rPr>
          <t>Compramos uma bolsa a prova d'água, uma capinha para a GoPro e uma mochila pequena de praia</t>
        </r>
      </text>
    </comment>
    <comment ref="B6" authorId="0">
      <text>
        <r>
          <rPr>
            <sz val="11"/>
            <color indexed="8"/>
            <rFont val="Arial"/>
            <family val="2"/>
          </rPr>
          <t>Táxi até o porto</t>
        </r>
      </text>
    </comment>
    <comment ref="F6" authorId="0">
      <text>
        <r>
          <rPr>
            <sz val="11"/>
            <color indexed="8"/>
            <rFont val="Arial"/>
            <family val="2"/>
          </rPr>
          <t>3 cup noodles</t>
        </r>
      </text>
    </comment>
    <comment ref="J6" authorId="0">
      <text>
        <r>
          <rPr>
            <sz val="11"/>
            <color indexed="8"/>
            <rFont val="Arial"/>
            <family val="2"/>
          </rPr>
          <t>Taxa portuária</t>
        </r>
      </text>
    </comment>
    <comment ref="Z6" authorId="0">
      <text>
        <r>
          <rPr>
            <sz val="11"/>
            <color indexed="8"/>
            <rFont val="Arial"/>
            <family val="2"/>
          </rPr>
          <t>No barco</t>
        </r>
      </text>
    </comment>
    <comment ref="H8" authorId="0">
      <text>
        <r>
          <rPr>
            <sz val="11"/>
            <color indexed="8"/>
            <rFont val="Arial"/>
            <family val="2"/>
          </rPr>
          <t>Dois tours Ultimate pelas ilhas de Coron e o aluguel de duas sapatilhas</t>
        </r>
      </text>
    </comment>
    <comment ref="B9" authorId="0">
      <text>
        <r>
          <rPr>
            <sz val="11"/>
            <color indexed="8"/>
            <rFont val="Arial"/>
            <family val="2"/>
          </rPr>
          <t>Compramos as passagens de barco pra El Nido pra amanhã</t>
        </r>
      </text>
    </comment>
    <comment ref="J9" authorId="0">
      <text>
        <r>
          <rPr>
            <sz val="11"/>
            <color indexed="8"/>
            <rFont val="Arial"/>
            <family val="2"/>
          </rPr>
          <t>Dois espetinhos na rua</t>
        </r>
      </text>
    </comment>
    <comment ref="B10" authorId="0">
      <text>
        <r>
          <rPr>
            <sz val="11"/>
            <color indexed="8"/>
            <rFont val="Arial"/>
            <family val="2"/>
          </rPr>
          <t>Pegamos um moto-táxi até o porto</t>
        </r>
      </text>
    </comment>
    <comment ref="J12" authorId="0">
      <text>
        <r>
          <rPr>
            <sz val="11"/>
            <color indexed="8"/>
            <rFont val="Arial"/>
            <family val="2"/>
          </rPr>
          <t>Três espetinhos na rua e 2 cornetos</t>
        </r>
      </text>
    </comment>
    <comment ref="B13" authorId="0">
      <text>
        <r>
          <rPr>
            <sz val="11"/>
            <color indexed="8"/>
            <rFont val="Arial"/>
            <family val="2"/>
          </rPr>
          <t>2 passagens de ônibus de El Nido a Puerto Princesa,e um  Tuk Tuk da rodoviária até o centro</t>
        </r>
      </text>
    </comment>
    <comment ref="B14" authorId="0">
      <text>
        <r>
          <rPr>
            <sz val="11"/>
            <color indexed="8"/>
            <rFont val="Arial"/>
            <family val="2"/>
          </rPr>
          <t>Duas passagens de barco para Iloilo (36h de viagem)</t>
        </r>
      </text>
    </comment>
    <comment ref="B15" authorId="0">
      <text>
        <r>
          <rPr>
            <sz val="11"/>
            <color indexed="8"/>
            <rFont val="Arial"/>
            <family val="2"/>
          </rPr>
          <t>Moto do nosso hotel até o porto</t>
        </r>
      </text>
    </comment>
    <comment ref="F15" authorId="0">
      <text>
        <r>
          <rPr>
            <sz val="11"/>
            <color indexed="8"/>
            <rFont val="Arial"/>
            <family val="2"/>
          </rPr>
          <t>1 almoço perto do porto; a Michele não almoçou</t>
        </r>
      </text>
    </comment>
    <comment ref="J15" authorId="0">
      <text>
        <r>
          <rPr>
            <sz val="11"/>
            <color indexed="8"/>
            <rFont val="Arial"/>
            <family val="2"/>
          </rPr>
          <t xml:space="preserve">Taxa de embarque no porto </t>
        </r>
      </text>
    </comment>
    <comment ref="B24" authorId="0">
      <text>
        <r>
          <rPr>
            <sz val="11"/>
            <color indexed="8"/>
            <rFont val="Arial"/>
            <family val="2"/>
          </rPr>
          <t>Moto-táxi para o terminal de Iloilo; van até onde saem os barcos para Boracay (5h), barco até Boracay</t>
        </r>
      </text>
    </comment>
    <comment ref="J24" authorId="0">
      <text>
        <r>
          <rPr>
            <sz val="11"/>
            <color indexed="8"/>
            <rFont val="Arial"/>
            <family val="2"/>
          </rPr>
          <t>Taxa portuária (100) e taxa ambiental (75) de Boracay</t>
        </r>
      </text>
    </comment>
    <comment ref="N27" authorId="0">
      <text>
        <r>
          <rPr>
            <sz val="11"/>
            <color indexed="8"/>
            <rFont val="Arial"/>
            <family val="2"/>
          </rPr>
          <t>Tive que comprar chinelos porque roubaram o meu na praia</t>
        </r>
      </text>
    </comment>
    <comment ref="B32" authorId="0">
      <text>
        <r>
          <rPr>
            <sz val="11"/>
            <color indexed="8"/>
            <rFont val="Arial"/>
            <family val="2"/>
          </rPr>
          <t>Várias passagens de avião que venceram no fim do ano (para Filipinas e depois para a Malásia)</t>
        </r>
      </text>
    </comment>
    <comment ref="J32" authorId="0">
      <text>
        <r>
          <rPr>
            <sz val="11"/>
            <color indexed="8"/>
            <rFont val="Arial"/>
            <family val="2"/>
          </rPr>
          <t xml:space="preserve">Gelo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V4" authorId="0">
      <text>
        <r>
          <rPr>
            <sz val="10"/>
            <color indexed="8"/>
            <rFont val="Arial"/>
            <family val="2"/>
          </rPr>
          <t>Barco</t>
        </r>
      </text>
    </comment>
    <comment ref="V8" authorId="0">
      <text>
        <r>
          <rPr>
            <sz val="10"/>
            <color indexed="8"/>
            <rFont val="Arial"/>
            <family val="2"/>
          </rPr>
          <t>Dormimos no caminhão em Calama</t>
        </r>
      </text>
    </comment>
    <comment ref="M12" authorId="0">
      <text>
        <r>
          <rPr>
            <sz val="10"/>
            <color indexed="8"/>
            <rFont val="Arial"/>
            <family val="2"/>
          </rPr>
          <t>Compramos um tablet novo</t>
        </r>
      </text>
    </comment>
    <comment ref="Q16" authorId="0">
      <text>
        <r>
          <rPr>
            <sz val="10"/>
            <color indexed="8"/>
            <rFont val="Arial"/>
            <family val="2"/>
          </rPr>
          <t>Em uma rede no Lago Maracaibo</t>
        </r>
      </text>
    </comment>
    <comment ref="M24" authorId="0">
      <text>
        <r>
          <rPr>
            <sz val="11"/>
            <color indexed="8"/>
            <rFont val="Arial"/>
            <family val="2"/>
          </rPr>
          <t>Precisamos comprar um computador novo</t>
        </r>
      </text>
    </comment>
    <comment ref="D27" authorId="0">
      <text>
        <r>
          <rPr>
            <sz val="11"/>
            <color indexed="8"/>
            <rFont val="Arial"/>
            <family val="2"/>
          </rPr>
          <t>Inclui a compra de uma GoPro</t>
        </r>
      </text>
    </comment>
    <comment ref="M27" authorId="0">
      <text>
        <r>
          <rPr>
            <sz val="11"/>
            <color indexed="8"/>
            <rFont val="Arial"/>
            <family val="2"/>
          </rPr>
          <t>Compramos uma GoPro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Arial"/>
            <family val="2"/>
          </rPr>
          <t>Táxi, ônibus até Caracas, ônibus até Junquito, ônibus até Colônia Tovar</t>
        </r>
      </text>
    </comment>
    <comment ref="J4" authorId="0">
      <text>
        <r>
          <rPr>
            <sz val="10"/>
            <color indexed="8"/>
            <rFont val="Arial"/>
            <family val="2"/>
          </rPr>
          <t>Morango com creme e 2 chocolates</t>
        </r>
      </text>
    </comment>
    <comment ref="H5" authorId="0">
      <text>
        <r>
          <rPr>
            <sz val="10"/>
            <color indexed="8"/>
            <rFont val="Arial"/>
            <family val="2"/>
          </rPr>
          <t>Passeio de 2h pelas montanhas da Colonia Tovar. Compramos para o dia seguinte</t>
        </r>
      </text>
    </comment>
    <comment ref="J5" authorId="0">
      <text>
        <r>
          <rPr>
            <sz val="10"/>
            <color indexed="8"/>
            <rFont val="Arial"/>
            <family val="2"/>
          </rPr>
          <t>Tomamos uma cerveja</t>
        </r>
      </text>
    </comment>
    <comment ref="B7" authorId="0">
      <text>
        <r>
          <rPr>
            <sz val="10"/>
            <color indexed="8"/>
            <rFont val="Arial"/>
            <family val="2"/>
          </rPr>
          <t>Duas passagens de Colonia Tovar a La Victoria, de La Victoria a Valencia e de Valencia a Chichiriviche</t>
        </r>
      </text>
    </comment>
    <comment ref="B8" authorId="0">
      <text>
        <r>
          <rPr>
            <sz val="10"/>
            <color indexed="8"/>
            <rFont val="Arial"/>
            <family val="2"/>
          </rPr>
          <t>Ônibus de Chichiriviche a Tucacas; Tucacas - Coro; Coro – Maracaibo;
100 de taxa de uso de terminal</t>
        </r>
      </text>
    </comment>
    <comment ref="B9" authorId="0">
      <text>
        <r>
          <rPr>
            <sz val="10"/>
            <color indexed="8"/>
            <rFont val="Arial"/>
            <family val="2"/>
          </rPr>
          <t>Duas vagas no táxi de Maracaibo até Maicao</t>
        </r>
      </text>
    </comment>
    <comment ref="B13" authorId="0">
      <text>
        <r>
          <rPr>
            <sz val="10"/>
            <color indexed="8"/>
            <rFont val="Arial"/>
            <family val="2"/>
          </rPr>
          <t>Carro de Maicao a Uribia, e de Uribia a Cabo de la Vela</t>
        </r>
      </text>
    </comment>
    <comment ref="J13" authorId="0">
      <text>
        <r>
          <rPr>
            <sz val="10"/>
            <color indexed="8"/>
            <rFont val="Arial"/>
            <family val="2"/>
          </rPr>
          <t>4000 - Compramos duas pulseirinhas de umas crianças
2500 – balde de água para tomar banho</t>
        </r>
      </text>
    </comment>
    <comment ref="L13" authorId="0">
      <text>
        <r>
          <rPr>
            <sz val="10"/>
            <color indexed="8"/>
            <rFont val="Arial"/>
            <family val="2"/>
          </rPr>
          <t>Aluguel de duas redes</t>
        </r>
      </text>
    </comment>
    <comment ref="B14" authorId="0">
      <text>
        <r>
          <rPr>
            <sz val="10"/>
            <color indexed="8"/>
            <rFont val="Arial"/>
            <family val="2"/>
          </rPr>
          <t>Carro de Cabo de la Vela a Uribia, e de Uribia a Riohacha</t>
        </r>
      </text>
    </comment>
    <comment ref="B16" authorId="0">
      <text>
        <r>
          <rPr>
            <sz val="10"/>
            <color indexed="8"/>
            <rFont val="Arial"/>
            <family val="2"/>
          </rPr>
          <t>Ônibus de Riohacha a Palomino (preço normal era 15; chorando conseguimos por 12)</t>
        </r>
      </text>
    </comment>
    <comment ref="J16" authorId="0">
      <text>
        <r>
          <rPr>
            <sz val="10"/>
            <color indexed="8"/>
            <rFont val="Arial"/>
            <family val="2"/>
          </rPr>
          <t>Uma cerveja</t>
        </r>
      </text>
    </comment>
    <comment ref="B18" authorId="0">
      <text>
        <r>
          <rPr>
            <sz val="10"/>
            <color indexed="8"/>
            <rFont val="Arial"/>
            <family val="2"/>
          </rPr>
          <t>Duas passagens de Palomino a Santa Marta</t>
        </r>
      </text>
    </comment>
    <comment ref="B19" authorId="0">
      <text>
        <r>
          <rPr>
            <sz val="10"/>
            <color indexed="8"/>
            <rFont val="Arial"/>
            <family val="2"/>
          </rPr>
          <t>Duas passagens de ônibus de Santa Marta a Taganga</t>
        </r>
      </text>
    </comment>
    <comment ref="L19" authorId="0">
      <text>
        <r>
          <rPr>
            <sz val="10"/>
            <color indexed="8"/>
            <rFont val="Arial"/>
            <family val="2"/>
          </rPr>
          <t>Conseguimos duas diárias em um hotel em troca de algumas fotos e de mencioná-los no nosso post de Taganga</t>
        </r>
      </text>
    </comment>
    <comment ref="B22" authorId="0">
      <text>
        <r>
          <rPr>
            <sz val="10"/>
            <color indexed="8"/>
            <rFont val="Arial"/>
            <family val="2"/>
          </rPr>
          <t>Passagens para ir e voltar de Santa Marta</t>
        </r>
      </text>
    </comment>
    <comment ref="B24" authorId="0">
      <text>
        <r>
          <rPr>
            <sz val="10"/>
            <color indexed="8"/>
            <rFont val="Arial"/>
            <family val="2"/>
          </rPr>
          <t>Passagens de ônibus de Santa Marta a Cartagena, + passagens de ônibus local em Santa Marta e em Cartagena</t>
        </r>
      </text>
    </comment>
    <comment ref="F24" authorId="0">
      <text>
        <r>
          <rPr>
            <sz val="10"/>
            <color indexed="8"/>
            <rFont val="Arial"/>
            <family val="2"/>
          </rPr>
          <t>5 empanadas na rodoviária</t>
        </r>
      </text>
    </comment>
    <comment ref="L25" authorId="0">
      <text>
        <r>
          <rPr>
            <sz val="10"/>
            <color indexed="8"/>
            <rFont val="Arial"/>
            <family val="2"/>
          </rPr>
          <t>Conseguimos duas diárias grátis num hostel. Preço normal: 50 mil por pessoa</t>
        </r>
      </text>
    </comment>
    <comment ref="H26" authorId="0">
      <text>
        <r>
          <rPr>
            <sz val="10"/>
            <color indexed="8"/>
            <rFont val="Arial"/>
            <family val="2"/>
          </rPr>
          <t>No passeio para o vulcão pagamos 4000 para tirarem fotos para nós e 4000 cada um pelo banho depois da lama</t>
        </r>
      </text>
    </comment>
    <comment ref="B28" authorId="0">
      <text>
        <r>
          <rPr>
            <sz val="10"/>
            <color indexed="8"/>
            <rFont val="Arial"/>
            <family val="2"/>
          </rPr>
          <t>Táxi até a casa da galerinha que a gente conheceu</t>
        </r>
      </text>
    </comment>
    <comment ref="J28" authorId="0">
      <text>
        <r>
          <rPr>
            <sz val="10"/>
            <color indexed="8"/>
            <rFont val="Arial"/>
            <family val="2"/>
          </rPr>
          <t>Compramos um ventilador + 15 para usar internet (mensal)</t>
        </r>
      </text>
    </comment>
    <comment ref="L28" authorId="0">
      <text>
        <r>
          <rPr>
            <sz val="10"/>
            <color indexed="8"/>
            <rFont val="Arial"/>
            <family val="2"/>
          </rPr>
          <t>Conhecemos um casal e alugamos uma casa com eles</t>
        </r>
      </text>
    </comment>
    <comment ref="F29" authorId="0">
      <text>
        <r>
          <rPr>
            <sz val="10"/>
            <color indexed="8"/>
            <rFont val="Arial"/>
            <family val="2"/>
          </rPr>
          <t>Peixe na praia mais caro do mundo. Pensávamos que estava incluído no passeio, por isso pedimos :(</t>
        </r>
      </text>
    </comment>
    <comment ref="J30" authorId="0">
      <text>
        <r>
          <rPr>
            <sz val="10"/>
            <color indexed="8"/>
            <rFont val="Arial"/>
            <family val="2"/>
          </rPr>
          <t>Fomos para o bar tomar cerveja e compramos uma garrafa de aguardente</t>
        </r>
      </text>
    </comment>
    <comment ref="B32" authorId="0">
      <text>
        <r>
          <rPr>
            <sz val="10"/>
            <color indexed="8"/>
            <rFont val="Arial"/>
            <family val="2"/>
          </rPr>
          <t>Transporte para ir e voltar do centro</t>
        </r>
      </text>
    </comment>
    <comment ref="J32" authorId="0">
      <text>
        <r>
          <rPr>
            <sz val="10"/>
            <color indexed="8"/>
            <rFont val="Arial"/>
            <family val="2"/>
          </rPr>
          <t>Compramos uma canga</t>
        </r>
      </text>
    </comment>
    <comment ref="B33" authorId="0">
      <text>
        <r>
          <rPr>
            <sz val="10"/>
            <color indexed="8"/>
            <rFont val="Arial"/>
            <family val="2"/>
          </rPr>
          <t>Transporte até a Playa Blanca; pagamos parte da passagem do pessoal que ia conosco porque eles compraram as comidas</t>
        </r>
      </text>
    </comment>
    <comment ref="Q33" authorId="0">
      <text>
        <r>
          <rPr>
            <sz val="10"/>
            <color indexed="8"/>
            <rFont val="Arial"/>
            <family val="2"/>
          </rPr>
          <t>Acampamos na praia, mas pagamos a diária da casa onde estávamos em Cartagena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Arial"/>
            <family val="2"/>
          </rPr>
          <t>Táxi coletivo para ir e voltar do centro</t>
        </r>
      </text>
    </comment>
    <comment ref="B10" authorId="0">
      <text>
        <r>
          <rPr>
            <sz val="10"/>
            <color indexed="8"/>
            <rFont val="Arial"/>
            <family val="2"/>
          </rPr>
          <t>Taxi coletivo para ir e voltar do centro</t>
        </r>
      </text>
    </comment>
    <comment ref="J10" authorId="0">
      <text>
        <r>
          <rPr>
            <sz val="10"/>
            <color indexed="8"/>
            <rFont val="Arial"/>
            <family val="2"/>
          </rPr>
          <t>Colchão inflável +Botõees e linha+Travesseiro e coisas pra casa</t>
        </r>
      </text>
    </comment>
    <comment ref="F13" authorId="0">
      <text>
        <r>
          <rPr>
            <sz val="10"/>
            <color indexed="8"/>
            <rFont val="Arial"/>
            <family val="2"/>
          </rPr>
          <t>Comemos 1 arepa na rua</t>
        </r>
      </text>
    </comment>
    <comment ref="J16" authorId="0">
      <text>
        <r>
          <rPr>
            <sz val="10"/>
            <color indexed="8"/>
            <rFont val="Arial"/>
            <family val="2"/>
          </rPr>
          <t>Emprestei 10 mil pro carinha que aluga o quarto pra nós, mas não vou cobrar</t>
        </r>
      </text>
    </comment>
    <comment ref="J17" authorId="0">
      <text>
        <r>
          <rPr>
            <sz val="10"/>
            <color indexed="8"/>
            <rFont val="Arial"/>
            <family val="2"/>
          </rPr>
          <t>Emprestamos para a galerinha que divide a casa conosco</t>
        </r>
      </text>
    </comment>
    <comment ref="J18" authorId="0">
      <text>
        <r>
          <rPr>
            <sz val="10"/>
            <color indexed="8"/>
            <rFont val="Arial"/>
            <family val="2"/>
          </rPr>
          <t>Cópia das chaves + 1000 pra enterar o leite</t>
        </r>
      </text>
    </comment>
    <comment ref="J20" authorId="0">
      <text>
        <r>
          <rPr>
            <sz val="10"/>
            <color indexed="8"/>
            <rFont val="Arial"/>
            <family val="2"/>
          </rPr>
          <t>20000 pra enterar a comida e 13000 em uma garrafa de rum</t>
        </r>
      </text>
    </comment>
    <comment ref="J22" authorId="0">
      <text>
        <r>
          <rPr>
            <sz val="10"/>
            <color indexed="8"/>
            <rFont val="Arial"/>
            <family val="2"/>
          </rPr>
          <t>Emprestamos para o pessoal</t>
        </r>
      </text>
    </comment>
    <comment ref="J23" authorId="0">
      <text>
        <r>
          <rPr>
            <sz val="10"/>
            <color indexed="8"/>
            <rFont val="Arial"/>
            <family val="2"/>
          </rPr>
          <t>Comemos dois x-saladas na rua</t>
        </r>
      </text>
    </comment>
    <comment ref="J25" authorId="0">
      <text>
        <r>
          <rPr>
            <sz val="10"/>
            <color indexed="8"/>
            <rFont val="Arial"/>
            <family val="2"/>
          </rPr>
          <t>Um sorvete e um x-salada</t>
        </r>
      </text>
    </comment>
    <comment ref="B26" authorId="0">
      <text>
        <r>
          <rPr>
            <sz val="10"/>
            <color indexed="8"/>
            <rFont val="Arial"/>
            <family val="2"/>
          </rPr>
          <t>12 mil ida pra Barranquilla, 10 mil volta pra Cartagena – restante ônibus nas cidades</t>
        </r>
      </text>
    </comment>
    <comment ref="J26" authorId="0">
      <text>
        <r>
          <rPr>
            <sz val="10"/>
            <color indexed="8"/>
            <rFont val="Arial"/>
            <family val="2"/>
          </rPr>
          <t>5 mil de hamburguer, 1000 de banheiro e o restante agua que compramos</t>
        </r>
      </text>
    </comment>
    <comment ref="J27" authorId="0">
      <text>
        <r>
          <rPr>
            <sz val="10"/>
            <color indexed="8"/>
            <rFont val="Arial"/>
            <family val="2"/>
          </rPr>
          <t>Emprestamos pro pessoal da casa</t>
        </r>
      </text>
    </comment>
    <comment ref="J28" authorId="0">
      <text>
        <r>
          <rPr>
            <sz val="10"/>
            <color indexed="8"/>
            <rFont val="Arial"/>
            <family val="2"/>
          </rPr>
          <t>O carinha pra quem emprestamos dinheiro nos devolveu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color indexed="8"/>
            <rFont val="Arial"/>
            <family val="2"/>
          </rPr>
          <t>Compramos algumas roupas novas</t>
        </r>
      </text>
    </comment>
    <comment ref="F2" authorId="0">
      <text>
        <r>
          <rPr>
            <sz val="10"/>
            <color indexed="8"/>
            <rFont val="Arial"/>
            <family val="2"/>
          </rPr>
          <t>Comemos 2 x-saladas na rua</t>
        </r>
      </text>
    </comment>
    <comment ref="F3" authorId="0">
      <text>
        <r>
          <rPr>
            <sz val="10"/>
            <color indexed="8"/>
            <rFont val="Arial"/>
            <family val="2"/>
          </rPr>
          <t>5 peças de frango frito e 3 porções de batatas
+Arroz chinês para a janta</t>
        </r>
      </text>
    </comment>
    <comment ref="D4" authorId="0">
      <text>
        <r>
          <rPr>
            <sz val="10"/>
            <color indexed="8"/>
            <rFont val="Arial"/>
            <family val="2"/>
          </rPr>
          <t>Compramos coisas para viajar ao Panamá</t>
        </r>
      </text>
    </comment>
    <comment ref="F4" authorId="0">
      <text>
        <r>
          <rPr>
            <sz val="10"/>
            <color indexed="8"/>
            <rFont val="Arial"/>
            <family val="2"/>
          </rPr>
          <t>3 x-saladas</t>
        </r>
      </text>
    </comment>
    <comment ref="D5" authorId="0">
      <text>
        <r>
          <rPr>
            <sz val="10"/>
            <color indexed="8"/>
            <rFont val="Arial"/>
            <family val="2"/>
          </rPr>
          <t>Comida pro gato</t>
        </r>
      </text>
    </comment>
    <comment ref="B6" authorId="0">
      <text>
        <r>
          <rPr>
            <sz val="10"/>
            <color indexed="8"/>
            <rFont val="Arial"/>
            <family val="2"/>
          </rPr>
          <t>60 – ônibus Cartagena -&gt; Monteria (chorando)
12 – táxi até o terminal de cartagena
6 – táxi em monteria
3 – caminhonete em Cartagena</t>
        </r>
      </text>
    </comment>
    <comment ref="F6" authorId="0">
      <text>
        <r>
          <rPr>
            <sz val="10"/>
            <color indexed="8"/>
            <rFont val="Arial"/>
            <family val="2"/>
          </rPr>
          <t>Duas jantas no terminal de monteria</t>
        </r>
      </text>
    </comment>
    <comment ref="J6" authorId="0">
      <text>
        <r>
          <rPr>
            <sz val="10"/>
            <color indexed="8"/>
            <rFont val="Arial"/>
            <family val="2"/>
          </rPr>
          <t>Banheiro no terminal</t>
        </r>
      </text>
    </comment>
    <comment ref="B7" authorId="0">
      <text>
        <r>
          <rPr>
            <sz val="10"/>
            <color indexed="8"/>
            <rFont val="Arial"/>
            <family val="2"/>
          </rPr>
          <t>Passagens em táxi coletivo para Arboletes</t>
        </r>
      </text>
    </comment>
    <comment ref="F7" authorId="0">
      <text>
        <r>
          <rPr>
            <sz val="10"/>
            <color indexed="8"/>
            <rFont val="Arial"/>
            <family val="2"/>
          </rPr>
          <t xml:space="preserve">Almoço em arboletes
</t>
        </r>
        <r>
          <rPr>
            <sz val="11"/>
            <color indexed="8"/>
            <rFont val="Arial"/>
            <family val="2"/>
          </rPr>
          <t/>
        </r>
      </text>
    </comment>
    <comment ref="H7" authorId="0">
      <text>
        <r>
          <rPr>
            <sz val="10"/>
            <color indexed="8"/>
            <rFont val="Arial"/>
            <family val="2"/>
          </rPr>
          <t>Duas entradas para o vulcão</t>
        </r>
      </text>
    </comment>
    <comment ref="B8" authorId="0">
      <text>
        <r>
          <rPr>
            <sz val="10"/>
            <color indexed="8"/>
            <rFont val="Arial"/>
            <family val="2"/>
          </rPr>
          <t>Duas passagens de Arboletes p/ Necoclí, + 2 passagens de barco para Capurganá</t>
        </r>
      </text>
    </comment>
    <comment ref="F8" authorId="0">
      <text>
        <r>
          <rPr>
            <sz val="10"/>
            <color indexed="8"/>
            <rFont val="Arial"/>
            <family val="2"/>
          </rPr>
          <t>Dois almoços</t>
        </r>
      </text>
    </comment>
    <comment ref="B9" authorId="0">
      <text>
        <r>
          <rPr>
            <sz val="10"/>
            <color indexed="8"/>
            <rFont val="Arial"/>
            <family val="2"/>
          </rPr>
          <t>Taxa de embarque no cais + sobrepeso da bagagem</t>
        </r>
      </text>
    </comment>
    <comment ref="H10" authorId="0">
      <text>
        <r>
          <rPr>
            <sz val="10"/>
            <color indexed="8"/>
            <rFont val="Arial"/>
            <family val="2"/>
          </rPr>
          <t>Entrada para a cachoeira El Cielo</t>
        </r>
      </text>
    </comment>
    <comment ref="D11" authorId="0">
      <text>
        <r>
          <rPr>
            <sz val="10"/>
            <color indexed="8"/>
            <rFont val="Arial"/>
            <family val="2"/>
          </rPr>
          <t>Compramos algumas coisas para levar a San Blas</t>
        </r>
      </text>
    </comment>
    <comment ref="B12" authorId="0">
      <text>
        <r>
          <rPr>
            <sz val="10"/>
            <color indexed="8"/>
            <rFont val="Arial"/>
            <family val="2"/>
          </rPr>
          <t>Duas passagens de barco até o Panamá; a passagem era 30 mil por pessoa, mas acabamos deixando o troco de 10 mil pro barqueiro.</t>
        </r>
      </text>
    </comment>
    <comment ref="J12" authorId="0">
      <text>
        <r>
          <rPr>
            <sz val="10"/>
            <color indexed="8"/>
            <rFont val="Arial"/>
            <family val="2"/>
          </rPr>
          <t>2 cópias dos passaportes em Puerto Obaldía (aceitavam pagamento em pesos)</t>
        </r>
      </text>
    </comment>
    <comment ref="F15" authorId="0">
      <text>
        <r>
          <rPr>
            <sz val="10"/>
            <color indexed="8"/>
            <rFont val="Arial"/>
            <family val="2"/>
          </rPr>
          <t>Duas jantas em Caledonia – polvo com patacones</t>
        </r>
      </text>
    </comment>
    <comment ref="H15" authorId="0">
      <text>
        <r>
          <rPr>
            <sz val="10"/>
            <color indexed="8"/>
            <rFont val="Arial"/>
            <family val="2"/>
          </rPr>
          <t>110 – barco que nos vai levar pelos próximos dias por San Blas;
20 – taxa de entrada para a comarca indígena dos Kuna;
2 – entrada na ilha de Caledonia</t>
        </r>
      </text>
    </comment>
    <comment ref="L15" authorId="0">
      <text>
        <r>
          <rPr>
            <sz val="10"/>
            <color indexed="8"/>
            <rFont val="Arial"/>
            <family val="2"/>
          </rPr>
          <t>13 por pessoa para acampar na primeira ilha de San Blas (são 3 de entrada na ilha + 10 de hospedagem)</t>
        </r>
      </text>
    </comment>
    <comment ref="F16" authorId="0">
      <text>
        <r>
          <rPr>
            <sz val="10"/>
            <color indexed="8"/>
            <rFont val="Arial"/>
            <family val="2"/>
          </rPr>
          <t>Almoço por 10 dólares, janta por 2,50</t>
        </r>
      </text>
    </comment>
    <comment ref="L16" authorId="0">
      <text>
        <r>
          <rPr>
            <sz val="10"/>
            <color indexed="8"/>
            <rFont val="Arial"/>
            <family val="2"/>
          </rPr>
          <t>Dormindo na rede</t>
        </r>
      </text>
    </comment>
    <comment ref="J18" authorId="0">
      <text>
        <r>
          <rPr>
            <sz val="10"/>
            <color indexed="8"/>
            <rFont val="Arial"/>
            <family val="2"/>
          </rPr>
          <t>Pagamos como ajuda pelas refeições que o pessoal do passeio nos deu</t>
        </r>
      </text>
    </comment>
    <comment ref="L18" authorId="0">
      <text>
        <r>
          <rPr>
            <sz val="10"/>
            <color indexed="8"/>
            <rFont val="Arial"/>
            <family val="2"/>
          </rPr>
          <t>Acampando em uma ilha, com as 3 refeições incluídas</t>
        </r>
      </text>
    </comment>
    <comment ref="H19" authorId="0">
      <text>
        <r>
          <rPr>
            <sz val="10"/>
            <color indexed="8"/>
            <rFont val="Arial"/>
            <family val="2"/>
          </rPr>
          <t>Passeio de barco até a ilha Perro e Ilha Fragata, e depois até a ilha Pelicano e um banco de areia. Os valores menores são as entradas nessas ilhas</t>
        </r>
      </text>
    </comment>
    <comment ref="B21" authorId="0">
      <text>
        <r>
          <rPr>
            <sz val="10"/>
            <color indexed="8"/>
            <rFont val="Arial"/>
            <family val="2"/>
          </rPr>
          <t>10pp – Transporte da ilha até o porto;
25pp – carro do porto de Carti até a cidade do Panamá</t>
        </r>
      </text>
    </comment>
    <comment ref="B25" authorId="0">
      <text>
        <r>
          <rPr>
            <sz val="10"/>
            <color indexed="8"/>
            <rFont val="Arial"/>
            <family val="2"/>
          </rPr>
          <t>1 – ônibus para ir ao terminal;
4 – 2 para fazer um cartão de transporte mais 2 que deixamos de crédito</t>
        </r>
      </text>
    </comment>
    <comment ref="N25" authorId="0">
      <text>
        <r>
          <rPr>
            <sz val="10"/>
            <color indexed="8"/>
            <rFont val="Arial"/>
            <family val="2"/>
          </rPr>
          <t>Estacas para a barraca</t>
        </r>
      </text>
    </comment>
    <comment ref="N27" authorId="0">
      <text>
        <r>
          <rPr>
            <sz val="10"/>
            <color indexed="8"/>
            <rFont val="Arial"/>
            <family val="2"/>
          </rPr>
          <t>Um relógio (perdi o meu em San Blas) e uma caixinha de som para o computador</t>
        </r>
      </text>
    </comment>
    <comment ref="N28" authorId="0">
      <text>
        <r>
          <rPr>
            <sz val="10"/>
            <color indexed="8"/>
            <rFont val="Arial"/>
            <family val="2"/>
          </rPr>
          <t>Capa para o tablet</t>
        </r>
      </text>
    </comment>
    <comment ref="B29" authorId="0">
      <text>
        <r>
          <rPr>
            <sz val="10"/>
            <color indexed="8"/>
            <rFont val="Arial"/>
            <family val="2"/>
          </rPr>
          <t>Duas passagens para David, mais uso do terminal</t>
        </r>
      </text>
    </comment>
    <comment ref="B30" authorId="0">
      <text>
        <r>
          <rPr>
            <sz val="10"/>
            <color indexed="8"/>
            <rFont val="Arial"/>
            <family val="2"/>
          </rPr>
          <t>De David a Boquete</t>
        </r>
      </text>
    </comment>
    <comment ref="B31" authorId="0">
      <text>
        <r>
          <rPr>
            <sz val="10"/>
            <color indexed="8"/>
            <rFont val="Arial"/>
            <family val="2"/>
          </rPr>
          <t>De Boquete a David e de David até a fronteira</t>
        </r>
      </text>
    </comment>
    <comment ref="B32" authorId="0">
      <text>
        <r>
          <rPr>
            <sz val="10"/>
            <color indexed="8"/>
            <rFont val="Arial"/>
            <family val="2"/>
          </rPr>
          <t>Ônibus da fronteira até San José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color indexed="8"/>
            <rFont val="Arial"/>
            <family val="2"/>
          </rPr>
          <t>Duas passagens de San José a Alajuela</t>
        </r>
      </text>
    </comment>
    <comment ref="B3" authorId="0">
      <text>
        <r>
          <rPr>
            <sz val="10"/>
            <color indexed="8"/>
            <rFont val="Arial"/>
            <family val="2"/>
          </rPr>
          <t>Transporte de ida e volta para a fazenda dos cachorros (Território Zaguate)</t>
        </r>
      </text>
    </comment>
    <comment ref="J3" authorId="0">
      <text>
        <r>
          <rPr>
            <sz val="10"/>
            <color indexed="8"/>
            <rFont val="Arial"/>
            <family val="2"/>
          </rPr>
          <t>Doação que fizemos na fazenda dos cachorros</t>
        </r>
      </text>
    </comment>
    <comment ref="J14" authorId="0">
      <text>
        <r>
          <rPr>
            <sz val="10"/>
            <color indexed="8"/>
            <rFont val="Arial"/>
            <family val="2"/>
          </rPr>
          <t>Imprimimos os mapas da Guatemala e de Honduras</t>
        </r>
      </text>
    </comment>
    <comment ref="B21" authorId="0">
      <text>
        <r>
          <rPr>
            <sz val="10"/>
            <color indexed="8"/>
            <rFont val="Arial"/>
            <family val="2"/>
          </rPr>
          <t>Ônibus de Playa Hermosa a Libéria, e depois até a fronteira</t>
        </r>
      </text>
    </comment>
    <comment ref="J21" authorId="0">
      <text>
        <r>
          <rPr>
            <sz val="10"/>
            <color indexed="8"/>
            <rFont val="Arial"/>
            <family val="2"/>
          </rPr>
          <t>Um cambista nos roubou</t>
        </r>
      </text>
    </comment>
    <comment ref="P21" authorId="0">
      <text>
        <r>
          <rPr>
            <sz val="10"/>
            <color indexed="8"/>
            <rFont val="Arial"/>
            <family val="2"/>
          </rPr>
          <t>Taxa de saída da Costa Rica</t>
        </r>
      </text>
    </comment>
    <comment ref="P22" authorId="0">
      <text>
        <r>
          <rPr>
            <sz val="10"/>
            <color indexed="8"/>
            <rFont val="Arial"/>
            <family val="2"/>
          </rPr>
          <t>Taxa de entrada na Nicarágua (em dólares)</t>
        </r>
      </text>
    </comment>
    <comment ref="B23" authorId="0">
      <text>
        <r>
          <rPr>
            <sz val="10"/>
            <color indexed="8"/>
            <rFont val="Arial"/>
            <family val="2"/>
          </rPr>
          <t>Ônibus da fronteira até Rivas</t>
        </r>
      </text>
    </comment>
    <comment ref="B24" authorId="0">
      <text>
        <r>
          <rPr>
            <sz val="10"/>
            <color indexed="8"/>
            <rFont val="Arial"/>
            <family val="2"/>
          </rPr>
          <t>Passagens de ônibus de Rivas a San Juan del Sur (na verdade cada passagem custa 18, mas o cara não tinha troco e deixamos quieto).</t>
        </r>
      </text>
    </comment>
    <comment ref="F24" authorId="0">
      <text>
        <r>
          <rPr>
            <sz val="10"/>
            <color indexed="8"/>
            <rFont val="Arial"/>
            <family val="2"/>
          </rPr>
          <t>Dois almoços com coca</t>
        </r>
      </text>
    </comment>
    <comment ref="L24" authorId="0">
      <text>
        <r>
          <rPr>
            <sz val="10"/>
            <color indexed="8"/>
            <rFont val="Arial"/>
            <family val="2"/>
          </rPr>
          <t>Conseguimos hospedagem em troca de algumas fotos e de divulgar o lugar no blog</t>
        </r>
      </text>
    </comment>
    <comment ref="B27" authorId="0">
      <text>
        <r>
          <rPr>
            <sz val="10"/>
            <color indexed="8"/>
            <rFont val="Arial"/>
            <family val="2"/>
          </rPr>
          <t>Taxi Coletivo SJDS/Rivas – Taxi Coletivo Rivas/Porto de San Jorge – Lancha pra Ometepe – Bus Moyogalpa até Altagracia</t>
        </r>
      </text>
    </comment>
    <comment ref="H28" authorId="0">
      <text>
        <r>
          <rPr>
            <sz val="10"/>
            <color indexed="8"/>
            <rFont val="Arial"/>
            <family val="2"/>
          </rPr>
          <t>Duas entradas para os Ojos de Água</t>
        </r>
      </text>
    </comment>
    <comment ref="H29" authorId="0">
      <text>
        <r>
          <rPr>
            <sz val="10"/>
            <color indexed="8"/>
            <rFont val="Arial"/>
            <family val="2"/>
          </rPr>
          <t>Entradas para a Punta Jesus Maria</t>
        </r>
      </text>
    </comment>
    <comment ref="J29" authorId="0">
      <text>
        <r>
          <rPr>
            <sz val="10"/>
            <color indexed="8"/>
            <rFont val="Arial"/>
            <family val="2"/>
          </rPr>
          <t>Dois litrões no bar</t>
        </r>
      </text>
    </comment>
    <comment ref="B30" authorId="0">
      <text>
        <r>
          <rPr>
            <sz val="10"/>
            <color indexed="8"/>
            <rFont val="Arial"/>
            <family val="2"/>
          </rPr>
          <t>Em ordem: 
-2 passagens de Altagracia (Ometepe) até o porto;
-2 passagens de barco saindo da ilha;
-táxi até a rodoviária;
-2 passagens de ônibus de Rivas a Granada</t>
        </r>
      </text>
    </comment>
    <comment ref="F30" authorId="0">
      <text>
        <r>
          <rPr>
            <sz val="10"/>
            <color indexed="8"/>
            <rFont val="Arial"/>
            <family val="2"/>
          </rPr>
          <t>-2 saquinhos de frango na rua + 2 almoços e suco na praça de Granada</t>
        </r>
      </text>
    </comment>
    <comment ref="F31" authorId="0">
      <text>
        <r>
          <rPr>
            <sz val="10"/>
            <color indexed="8"/>
            <rFont val="Arial"/>
            <family val="2"/>
          </rPr>
          <t>Dois almoços e um refrigerante na praça</t>
        </r>
      </text>
    </comment>
    <comment ref="H31" authorId="0">
      <text>
        <r>
          <rPr>
            <sz val="10"/>
            <color indexed="8"/>
            <rFont val="Arial"/>
            <family val="2"/>
          </rPr>
          <t>Tour ao vulcão pela noite</t>
        </r>
      </text>
    </comment>
    <comment ref="H32" authorId="0">
      <text>
        <r>
          <rPr>
            <sz val="10"/>
            <color indexed="8"/>
            <rFont val="Arial"/>
            <family val="2"/>
          </rPr>
          <t>Duas entradas para subir na torre da igreja</t>
        </r>
      </text>
    </comment>
    <comment ref="B33" authorId="0">
      <text>
        <r>
          <rPr>
            <sz val="10"/>
            <color indexed="8"/>
            <rFont val="Arial"/>
            <family val="2"/>
          </rPr>
          <t>Passagem de Granada a Manágua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color indexed="8"/>
            <rFont val="Arial"/>
            <family val="2"/>
          </rPr>
          <t>Duas passagens em van de Manágua a León</t>
        </r>
      </text>
    </comment>
    <comment ref="L3" authorId="0">
      <text>
        <r>
          <rPr>
            <sz val="10"/>
            <color indexed="8"/>
            <rFont val="Arial"/>
            <family val="2"/>
          </rPr>
          <t>Conseguimos hospedagem grátis em um hotel em troca de publicidade e fotos</t>
        </r>
      </text>
    </comment>
    <comment ref="H5" authorId="0">
      <text>
        <r>
          <rPr>
            <sz val="10"/>
            <color indexed="8"/>
            <rFont val="Arial"/>
            <family val="2"/>
          </rPr>
          <t>Duas entradas para o teto da Catedral de León</t>
        </r>
      </text>
    </comment>
    <comment ref="J5" authorId="0">
      <text>
        <r>
          <rPr>
            <sz val="10"/>
            <color indexed="8"/>
            <rFont val="Arial"/>
            <family val="2"/>
          </rPr>
          <t>Dois sorvetes na praça</t>
        </r>
      </text>
    </comment>
    <comment ref="B10" authorId="0">
      <text>
        <r>
          <rPr>
            <sz val="10"/>
            <color indexed="8"/>
            <rFont val="Arial"/>
            <family val="2"/>
          </rPr>
          <t>Fomos e voltamos ao Cañon de Somoto. Fomos em táxi compartilhado e voltamos em ônibus.</t>
        </r>
      </text>
    </comment>
    <comment ref="B11" authorId="0">
      <text>
        <r>
          <rPr>
            <sz val="10"/>
            <color indexed="8"/>
            <rFont val="Arial"/>
            <family val="2"/>
          </rPr>
          <t>Duas passagens ida e volta para o Cânion de Somoto</t>
        </r>
      </text>
    </comment>
    <comment ref="J11" authorId="0">
      <text>
        <r>
          <rPr>
            <sz val="10"/>
            <color indexed="8"/>
            <rFont val="Arial"/>
            <family val="2"/>
          </rPr>
          <t>Demos de gorjeta a um menino que nos deu uma carona de barco em uma parte do recorrido</t>
        </r>
      </text>
    </comment>
    <comment ref="B13" authorId="0">
      <text>
        <r>
          <rPr>
            <sz val="10"/>
            <color indexed="8"/>
            <rFont val="Arial"/>
            <family val="2"/>
          </rPr>
          <t>Somoto a Ocotal; Ocotal até a fronteira</t>
        </r>
      </text>
    </comment>
    <comment ref="P14" authorId="0">
      <text>
        <r>
          <rPr>
            <sz val="10"/>
            <color indexed="8"/>
            <rFont val="Arial"/>
            <family val="2"/>
          </rPr>
          <t>3 dólares por pessoa para sair da Nicarágua</t>
        </r>
      </text>
    </comment>
    <comment ref="P15" authorId="0">
      <text>
        <r>
          <rPr>
            <sz val="10"/>
            <color indexed="8"/>
            <rFont val="Arial"/>
            <family val="2"/>
          </rPr>
          <t>Taxa de entrada no país: 3 dólares ou 100 lempiras por pessoa.
Pagar em dólar era mais vantagem, mas não tinham troco</t>
        </r>
      </text>
    </comment>
    <comment ref="AA15" authorId="0">
      <text>
        <r>
          <rPr>
            <sz val="10"/>
            <color indexed="8"/>
            <rFont val="Arial"/>
            <family val="2"/>
          </rPr>
          <t>Da fronteira até Tegucigalpa</t>
        </r>
      </text>
    </comment>
    <comment ref="H16" authorId="0">
      <text>
        <r>
          <rPr>
            <sz val="10"/>
            <color indexed="8"/>
            <rFont val="Arial"/>
            <family val="2"/>
          </rPr>
          <t>Duas entradas para o museu</t>
        </r>
      </text>
    </comment>
    <comment ref="F20" authorId="0">
      <text>
        <r>
          <rPr>
            <sz val="10"/>
            <color indexed="8"/>
            <rFont val="Arial"/>
            <family val="2"/>
          </rPr>
          <t>Jantamos baleadas. Pagamos a do Luis (quem nos está hospedando)</t>
        </r>
      </text>
    </comment>
    <comment ref="J20" authorId="0">
      <text>
        <r>
          <rPr>
            <sz val="10"/>
            <color indexed="8"/>
            <rFont val="Arial"/>
            <family val="2"/>
          </rPr>
          <t>Sorvetes e um café que tomamos em Valle de Angeles</t>
        </r>
      </text>
    </comment>
    <comment ref="B22" authorId="0">
      <text>
        <r>
          <rPr>
            <sz val="10"/>
            <color indexed="8"/>
            <rFont val="Arial"/>
            <family val="2"/>
          </rPr>
          <t>Passagens de ônibus de Tegucigalpa a Juticalpa</t>
        </r>
      </text>
    </comment>
    <comment ref="F22" authorId="0">
      <text>
        <r>
          <rPr>
            <sz val="10"/>
            <color indexed="8"/>
            <rFont val="Arial"/>
            <family val="2"/>
          </rPr>
          <t>3 baleadas</t>
        </r>
      </text>
    </comment>
    <comment ref="AA23" authorId="0">
      <text>
        <r>
          <rPr>
            <sz val="10"/>
            <color indexed="8"/>
            <rFont val="Arial"/>
            <family val="2"/>
          </rPr>
          <t>Um rapaz nos ofereceu carona no restaurante onde estávamos almoçando enquanto esperávamos o ônibus.</t>
        </r>
      </text>
    </comment>
    <comment ref="L24" authorId="0">
      <text>
        <r>
          <rPr>
            <sz val="10"/>
            <color indexed="8"/>
            <rFont val="Arial"/>
            <family val="2"/>
          </rPr>
          <t>Conseguimos 3 dias de hospedagem grátis em um hotel por conta do blog</t>
        </r>
      </text>
    </comment>
    <comment ref="H25" authorId="0">
      <text>
        <r>
          <rPr>
            <sz val="10"/>
            <color indexed="8"/>
            <rFont val="Arial"/>
            <family val="2"/>
          </rPr>
          <t>Duas entradas para as ruínas de Trujillo</t>
        </r>
      </text>
    </comment>
    <comment ref="B26" authorId="0">
      <text>
        <r>
          <rPr>
            <sz val="10"/>
            <color indexed="8"/>
            <rFont val="Arial"/>
            <family val="2"/>
          </rPr>
          <t>Táxi até o começo da trilha do Parque Capiro</t>
        </r>
      </text>
    </comment>
    <comment ref="B27" authorId="0">
      <text>
        <r>
          <rPr>
            <sz val="10"/>
            <color indexed="8"/>
            <rFont val="Arial"/>
            <family val="2"/>
          </rPr>
          <t>Van de Trujillo a La Ceiba</t>
        </r>
      </text>
    </comment>
    <comment ref="J27" authorId="0">
      <text>
        <r>
          <rPr>
            <sz val="10"/>
            <color indexed="8"/>
            <rFont val="Arial"/>
            <family val="2"/>
          </rPr>
          <t>Compramos uns biscoitos no ônibus</t>
        </r>
      </text>
    </comment>
    <comment ref="B31" authorId="0">
      <text>
        <r>
          <rPr>
            <sz val="10"/>
            <color indexed="8"/>
            <rFont val="Arial"/>
            <family val="2"/>
          </rPr>
          <t>Táxi do centro de La Ceiba até o Porto; Táxi do porto de Roatán até nosso hotel</t>
        </r>
      </text>
    </comment>
    <comment ref="L31" authorId="0">
      <text>
        <r>
          <rPr>
            <sz val="10"/>
            <color indexed="8"/>
            <rFont val="Arial"/>
            <family val="2"/>
          </rPr>
          <t>Conseguimos hospedagem grátis em Roatán em troca de publicidade</t>
        </r>
      </text>
    </comment>
    <comment ref="B34" authorId="0">
      <text>
        <r>
          <rPr>
            <sz val="10"/>
            <color indexed="8"/>
            <rFont val="Arial"/>
            <family val="2"/>
          </rPr>
          <t>Ônibus de West End a Sandy Bay</t>
        </r>
      </text>
    </comment>
    <comment ref="L34" authorId="0">
      <text>
        <r>
          <rPr>
            <sz val="10"/>
            <color indexed="8"/>
            <rFont val="Arial"/>
            <family val="2"/>
          </rPr>
          <t>Mudamos para um outro hotel que topou nos receber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color indexed="8"/>
            <rFont val="Arial"/>
            <family val="2"/>
          </rPr>
          <t>Duas passagens de ônibus de Sandy Bay a West End</t>
        </r>
      </text>
    </comment>
    <comment ref="L3" authorId="0">
      <text>
        <r>
          <rPr>
            <sz val="10"/>
            <color indexed="8"/>
            <rFont val="Arial"/>
            <family val="2"/>
          </rPr>
          <t>Pagamos em dólares: 18</t>
        </r>
      </text>
    </comment>
    <comment ref="D5" authorId="0">
      <text>
        <r>
          <rPr>
            <sz val="10"/>
            <color indexed="8"/>
            <rFont val="Arial"/>
            <family val="2"/>
          </rPr>
          <t>100 lempiras foram de depósito por um garrafão de água, que vão nos devolver quando devolvermos o garrafão</t>
        </r>
      </text>
    </comment>
    <comment ref="J9" authorId="0">
      <text>
        <r>
          <rPr>
            <sz val="10"/>
            <color indexed="8"/>
            <rFont val="Arial"/>
            <family val="2"/>
          </rPr>
          <t>Curso de mergulho;
Os 100 negativos foi o depósito de um galao de água que nos devolveram</t>
        </r>
      </text>
    </comment>
    <comment ref="L9" authorId="0">
      <text>
        <r>
          <rPr>
            <sz val="10"/>
            <color indexed="8"/>
            <rFont val="Arial"/>
            <family val="2"/>
          </rPr>
          <t>5 dólares;
Como eu estou fazendo o curso de mergulho, só a Michele está pagando</t>
        </r>
      </text>
    </comment>
    <comment ref="B10" authorId="0">
      <text>
        <r>
          <rPr>
            <sz val="10"/>
            <color indexed="8"/>
            <rFont val="Arial"/>
            <family val="2"/>
          </rPr>
          <t>Moto-táxi até o centro de saúde da ilha</t>
        </r>
      </text>
    </comment>
    <comment ref="J10" authorId="0">
      <text>
        <r>
          <rPr>
            <sz val="10"/>
            <color indexed="8"/>
            <rFont val="Arial"/>
            <family val="2"/>
          </rPr>
          <t>Consulta médica por conta do ouvido inflamado da Michele</t>
        </r>
      </text>
    </comment>
    <comment ref="G11" authorId="0">
      <text>
        <r>
          <rPr>
            <sz val="10"/>
            <color indexed="8"/>
            <rFont val="Arial"/>
            <family val="2"/>
          </rPr>
          <t>200 por pessoa para um churrasco onde estamos fazendo curso de mergulho (com cerveja a vontade).</t>
        </r>
      </text>
    </comment>
    <comment ref="B14" authorId="0">
      <text>
        <r>
          <rPr>
            <sz val="10"/>
            <color indexed="8"/>
            <rFont val="Arial"/>
            <family val="2"/>
          </rPr>
          <t>115 por pessoa de La Ceiba a San Pedro e 140 de San Pedro a Copán Ruinas</t>
        </r>
      </text>
    </comment>
    <comment ref="J15" authorId="0">
      <text>
        <r>
          <rPr>
            <sz val="10"/>
            <color indexed="8"/>
            <rFont val="Arial"/>
            <family val="2"/>
          </rPr>
          <t>Remédio para dor de ouvido</t>
        </r>
      </text>
    </comment>
    <comment ref="H16" authorId="0">
      <text>
        <r>
          <rPr>
            <sz val="10"/>
            <color indexed="8"/>
            <rFont val="Arial"/>
            <family val="2"/>
          </rPr>
          <t>Duas entradas para as ruínas de Copán (15 dólares cada uma)</t>
        </r>
      </text>
    </comment>
    <comment ref="B17" authorId="0">
      <text>
        <r>
          <rPr>
            <sz val="10"/>
            <color indexed="8"/>
            <rFont val="Arial"/>
            <family val="2"/>
          </rPr>
          <t>Passagens de:
-Copán a La Entrada (2h);
-La Entrada a Santa Rosa (1h);
-Santa Rosa – Ocotepeque (3h)</t>
        </r>
      </text>
    </comment>
    <comment ref="B18" authorId="0">
      <text>
        <r>
          <rPr>
            <sz val="10"/>
            <color indexed="8"/>
            <rFont val="Arial"/>
            <family val="2"/>
          </rPr>
          <t>Duas passagens de ônibus até a fronteira com El Salvador</t>
        </r>
      </text>
    </comment>
    <comment ref="B19" authorId="0">
      <text>
        <r>
          <rPr>
            <sz val="10"/>
            <color indexed="8"/>
            <rFont val="Arial"/>
            <family val="2"/>
          </rPr>
          <t>Fizemos um caminho meio louco para chegar a San Salvador, pois queríamos passar em Joya de Cerén.</t>
        </r>
      </text>
    </comment>
    <comment ref="B20" authorId="0">
      <text>
        <r>
          <rPr>
            <sz val="10"/>
            <color indexed="8"/>
            <rFont val="Arial"/>
            <family val="2"/>
          </rPr>
          <t>Passagem de ida e volta para Joya de Cerén e passagens internas em San Salvador</t>
        </r>
      </text>
    </comment>
    <comment ref="H20" authorId="0">
      <text>
        <r>
          <rPr>
            <sz val="10"/>
            <color indexed="8"/>
            <rFont val="Arial"/>
            <family val="2"/>
          </rPr>
          <t>Duas entradas para as Joyas de Cerén</t>
        </r>
      </text>
    </comment>
    <comment ref="B21" authorId="0">
      <text>
        <r>
          <rPr>
            <sz val="10"/>
            <color indexed="8"/>
            <rFont val="Arial"/>
            <family val="2"/>
          </rPr>
          <t>Duas passagens de ônibus de San Salvador a Ahuachapán</t>
        </r>
      </text>
    </comment>
    <comment ref="B22" authorId="0">
      <text>
        <r>
          <rPr>
            <sz val="10"/>
            <color indexed="8"/>
            <rFont val="Arial"/>
            <family val="2"/>
          </rPr>
          <t>Ônibus até a fronteira</t>
        </r>
      </text>
    </comment>
    <comment ref="B23" authorId="0">
      <text>
        <r>
          <rPr>
            <sz val="10"/>
            <color indexed="8"/>
            <rFont val="Arial"/>
            <family val="2"/>
          </rPr>
          <t>Ônibus da fronteira até a capital, e da capital até Antigua.
ônibus local na capital</t>
        </r>
      </text>
    </comment>
    <comment ref="L23" authorId="0">
      <text>
        <r>
          <rPr>
            <sz val="10"/>
            <color indexed="8"/>
            <rFont val="Arial"/>
            <family val="2"/>
          </rPr>
          <t>Ganhamos hospedagem em um hotel de Antigua</t>
        </r>
      </text>
    </comment>
    <comment ref="J25" authorId="0">
      <text>
        <r>
          <rPr>
            <sz val="10"/>
            <color indexed="8"/>
            <rFont val="Arial"/>
            <family val="2"/>
          </rPr>
          <t>Compramos um remédio porque a Michele está com uma infecção na gengiva</t>
        </r>
      </text>
    </comment>
    <comment ref="L27" authorId="0">
      <text>
        <r>
          <rPr>
            <sz val="10"/>
            <color indexed="8"/>
            <rFont val="Arial"/>
            <family val="2"/>
          </rPr>
          <t>Aqui também ganhamos uma hospedagem grátis</t>
        </r>
      </text>
    </comment>
    <comment ref="B28" authorId="0">
      <text>
        <r>
          <rPr>
            <sz val="10"/>
            <color indexed="8"/>
            <rFont val="Arial"/>
            <family val="2"/>
          </rPr>
          <t>Para ir e voltar de Chichicastenango</t>
        </r>
      </text>
    </comment>
    <comment ref="F28" authorId="0">
      <text>
        <r>
          <rPr>
            <sz val="10"/>
            <color indexed="8"/>
            <rFont val="Arial"/>
            <family val="2"/>
          </rPr>
          <t>Só eu almocei; a Michele não estava bem do estômago</t>
        </r>
      </text>
    </comment>
    <comment ref="H29" authorId="0">
      <text>
        <r>
          <rPr>
            <sz val="10"/>
            <color indexed="8"/>
            <rFont val="Arial"/>
            <family val="2"/>
          </rPr>
          <t>Entradas para a Reserva Natural Atitlán</t>
        </r>
      </text>
    </comment>
    <comment ref="B31" authorId="0">
      <text>
        <r>
          <rPr>
            <sz val="10"/>
            <color indexed="8"/>
            <rFont val="Arial"/>
            <family val="2"/>
          </rPr>
          <t>Duas passagens de ida e volta de barco para Santiago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Arial"/>
            <family val="2"/>
          </rPr>
          <t>Transporte de Panajachel a Uspantán</t>
        </r>
      </text>
    </comment>
    <comment ref="B5" authorId="0">
      <text>
        <r>
          <rPr>
            <sz val="10"/>
            <color indexed="8"/>
            <rFont val="Arial"/>
            <family val="2"/>
          </rPr>
          <t>Duas passagens de van para Cobán</t>
        </r>
      </text>
    </comment>
    <comment ref="B10" authorId="0">
      <text>
        <r>
          <rPr>
            <sz val="10"/>
            <color indexed="8"/>
            <rFont val="Arial"/>
            <family val="2"/>
          </rPr>
          <t>Ônibus de Cobán a Lanquín</t>
        </r>
      </text>
    </comment>
    <comment ref="J10" authorId="0">
      <text>
        <r>
          <rPr>
            <sz val="10"/>
            <color indexed="8"/>
            <rFont val="Arial"/>
            <family val="2"/>
          </rPr>
          <t>Demos de gorjeta para um rapaz que nos ajudou a encontrar hotel e um restaurante barato</t>
        </r>
      </text>
    </comment>
    <comment ref="B11" authorId="0">
      <text>
        <r>
          <rPr>
            <sz val="10"/>
            <color indexed="8"/>
            <rFont val="Arial"/>
            <family val="2"/>
          </rPr>
          <t>Transportes de ida e volta para Semuc Champey. O valor normal é 25, mas chorando conseguimos por 20</t>
        </r>
      </text>
    </comment>
    <comment ref="G11" authorId="0">
      <text>
        <r>
          <rPr>
            <sz val="10"/>
            <color indexed="8"/>
            <rFont val="Arial"/>
            <family val="2"/>
          </rPr>
          <t>200 por pessoa para um churrasco onde estamos fazendo curso de mergulho (com cerveja a vontade).</t>
        </r>
      </text>
    </comment>
    <comment ref="H11" authorId="0">
      <text>
        <r>
          <rPr>
            <sz val="10"/>
            <color indexed="8"/>
            <rFont val="Arial"/>
            <family val="2"/>
          </rPr>
          <t>Duas entradas para Semuc Champey</t>
        </r>
      </text>
    </comment>
    <comment ref="L11" authorId="0">
      <text>
        <r>
          <rPr>
            <sz val="10"/>
            <color indexed="8"/>
            <rFont val="Arial"/>
            <family val="2"/>
          </rPr>
          <t>Ficamos no mesmo hotel, mas como erraram as reservas, acabamos ficando sem quarto. Como pedido de desculpas, nos deixaram dormir de graça em uns colchonetes no chão</t>
        </r>
      </text>
    </comment>
    <comment ref="B12" authorId="0">
      <text>
        <r>
          <rPr>
            <sz val="10"/>
            <color indexed="8"/>
            <rFont val="Arial"/>
            <family val="2"/>
          </rPr>
          <t>Duas passagens para Flores</t>
        </r>
      </text>
    </comment>
    <comment ref="H13" authorId="0">
      <text>
        <r>
          <rPr>
            <sz val="10"/>
            <color indexed="8"/>
            <rFont val="Arial"/>
            <family val="2"/>
          </rPr>
          <t>Duas passagens de ônibus (ida e volta) para Tikal</t>
        </r>
      </text>
    </comment>
    <comment ref="L13" authorId="0">
      <text>
        <r>
          <rPr>
            <sz val="10"/>
            <color indexed="8"/>
            <rFont val="Arial"/>
            <family val="2"/>
          </rPr>
          <t>Conseguimos o hotel grátis em troca de publicidade</t>
        </r>
      </text>
    </comment>
    <comment ref="H14" authorId="0">
      <text>
        <r>
          <rPr>
            <sz val="10"/>
            <color indexed="8"/>
            <rFont val="Arial"/>
            <family val="2"/>
          </rPr>
          <t>Duas entradas para Tikal</t>
        </r>
      </text>
    </comment>
    <comment ref="B16" authorId="0">
      <text>
        <r>
          <rPr>
            <sz val="10"/>
            <color indexed="8"/>
            <rFont val="Arial"/>
            <family val="2"/>
          </rPr>
          <t>Duas passagens de ônibus de Flores para a fronteira de El Ceibo (México)</t>
        </r>
      </text>
    </comment>
    <comment ref="B17" authorId="0">
      <text>
        <r>
          <rPr>
            <sz val="10"/>
            <color indexed="8"/>
            <rFont val="Arial"/>
            <family val="2"/>
          </rPr>
          <t>Passagens de ônibus da fronteira com o México até Palenque</t>
        </r>
      </text>
    </comment>
    <comment ref="P17" authorId="0">
      <text>
        <r>
          <rPr>
            <sz val="10"/>
            <color indexed="8"/>
            <rFont val="Arial"/>
            <family val="2"/>
          </rPr>
          <t>Preço para entrar no México. É grátis se for ficar só por 7 dias</t>
        </r>
      </text>
    </comment>
    <comment ref="N18" authorId="0">
      <text>
        <r>
          <rPr>
            <sz val="10"/>
            <color indexed="8"/>
            <rFont val="Arial"/>
            <family val="2"/>
          </rPr>
          <t>Compramos chinelos novos</t>
        </r>
      </text>
    </comment>
    <comment ref="H19" authorId="0">
      <text>
        <r>
          <rPr>
            <sz val="10"/>
            <color indexed="8"/>
            <rFont val="Arial"/>
            <family val="2"/>
          </rPr>
          <t>Entrada para o Parque Nacional e para as ruínas de Palenque</t>
        </r>
      </text>
    </comment>
    <comment ref="AA19" authorId="0">
      <text>
        <r>
          <rPr>
            <sz val="10"/>
            <color indexed="8"/>
            <rFont val="Arial"/>
            <family val="2"/>
          </rPr>
          <t>Fomos e voltamos de carona do Sítio Arqueológico. Se tivéssemos ido de ônibus teríamos gasto 80 (20 o trecho, por pessoa)</t>
        </r>
      </text>
    </comment>
    <comment ref="J20" authorId="0">
      <text>
        <r>
          <rPr>
            <sz val="10"/>
            <color indexed="8"/>
            <rFont val="Arial"/>
            <family val="2"/>
          </rPr>
          <t>Devolvemos o frasco de uma cerveja que compramos ontem</t>
        </r>
      </text>
    </comment>
    <comment ref="B21" authorId="0">
      <text>
        <r>
          <rPr>
            <sz val="10"/>
            <color indexed="8"/>
            <rFont val="Arial"/>
            <family val="2"/>
          </rPr>
          <t>Duas passagens até o cruzamento da estrada, onde tentamos carona</t>
        </r>
      </text>
    </comment>
    <comment ref="B22" authorId="0">
      <text>
        <r>
          <rPr>
            <sz val="10"/>
            <color indexed="8"/>
            <rFont val="Arial"/>
            <family val="2"/>
          </rPr>
          <t>Duas passagens de Escarcega a Xpujil. Era 130 por pessoa, mas nos fizeram a 100 porque estávamos pedindo carona</t>
        </r>
      </text>
    </comment>
    <comment ref="J25" authorId="0">
      <text>
        <r>
          <rPr>
            <sz val="10"/>
            <color indexed="8"/>
            <rFont val="Arial"/>
            <family val="2"/>
          </rPr>
          <t>Compramos duas cervejas de 1,2L. Cada uma custava 30, mais 7 de depósito do envase (que vão nos devolver quando devolvemos as garrafas vazias)</t>
        </r>
      </text>
    </comment>
    <comment ref="F27" authorId="0">
      <text>
        <r>
          <rPr>
            <sz val="10"/>
            <color indexed="8"/>
            <rFont val="Arial"/>
            <family val="2"/>
          </rPr>
          <t>Dois almoços</t>
        </r>
      </text>
    </comment>
    <comment ref="F28" authorId="0">
      <text>
        <r>
          <rPr>
            <sz val="10"/>
            <color indexed="8"/>
            <rFont val="Arial"/>
            <family val="2"/>
          </rPr>
          <t>Dois almoços</t>
        </r>
      </text>
    </comment>
    <comment ref="J29" authorId="0">
      <text>
        <r>
          <rPr>
            <sz val="10"/>
            <color indexed="8"/>
            <rFont val="Arial"/>
            <family val="2"/>
          </rPr>
          <t>Uma raspadinha com gelo</t>
        </r>
      </text>
    </comment>
    <comment ref="H30" authorId="0">
      <text>
        <r>
          <rPr>
            <sz val="10"/>
            <color indexed="8"/>
            <rFont val="Arial"/>
            <family val="2"/>
          </rPr>
          <t>Entradas para as ruínas de Tulum</t>
        </r>
      </text>
    </comment>
    <comment ref="F31" authorId="0">
      <text>
        <r>
          <rPr>
            <sz val="10"/>
            <color indexed="8"/>
            <rFont val="Arial"/>
            <family val="2"/>
          </rPr>
          <t>Comida de rua</t>
        </r>
      </text>
    </comment>
    <comment ref="J32" authorId="0">
      <text>
        <r>
          <rPr>
            <sz val="10"/>
            <color indexed="8"/>
            <rFont val="Arial"/>
            <family val="2"/>
          </rPr>
          <t>Duas paletas</t>
        </r>
      </text>
    </comment>
    <comment ref="J33" authorId="0">
      <text>
        <r>
          <rPr>
            <sz val="10"/>
            <color indexed="8"/>
            <rFont val="Arial"/>
            <family val="2"/>
          </rPr>
          <t>Compramos duas cervejas de 1,2 litros</t>
        </r>
      </text>
    </comment>
  </commentList>
</comments>
</file>

<file path=xl/sharedStrings.xml><?xml version="1.0" encoding="utf-8"?>
<sst xmlns="http://schemas.openxmlformats.org/spreadsheetml/2006/main" count="1604" uniqueCount="328">
  <si>
    <t>Data</t>
  </si>
  <si>
    <t>Valor</t>
  </si>
  <si>
    <t>País</t>
  </si>
  <si>
    <t>Câmbio</t>
  </si>
  <si>
    <t>Valor em Reais</t>
  </si>
  <si>
    <t>Comissão pela venda de passeios (Moving)</t>
  </si>
  <si>
    <t>Argentina</t>
  </si>
  <si>
    <t>Gorjetas (Moving)</t>
  </si>
  <si>
    <t>Total 2015/2016</t>
  </si>
  <si>
    <t>Total 2017</t>
  </si>
  <si>
    <t>Vendendo garrafa vazia deixada por um hospede</t>
  </si>
  <si>
    <t>Total 2018</t>
  </si>
  <si>
    <t>Gorjeta dos Chineses (Moving)</t>
  </si>
  <si>
    <t>Lvanderia (Moving)</t>
  </si>
  <si>
    <t>Total Viajona</t>
  </si>
  <si>
    <t>Presente de Gisela (Rio Grande): 100 dólares!</t>
  </si>
  <si>
    <t>Encontramos 10 soles na rua</t>
  </si>
  <si>
    <t>Peru</t>
  </si>
  <si>
    <t>Encontramos 1 sol na rua</t>
  </si>
  <si>
    <t>Pagamento pela venda de fotos na web</t>
  </si>
  <si>
    <t>Pagamento Google Adsense (Blog)</t>
  </si>
  <si>
    <t>Achamos 20 dólares na rua!</t>
  </si>
  <si>
    <t>Costa Rica</t>
  </si>
  <si>
    <t>Pagamento venda fotos na web</t>
  </si>
  <si>
    <t>Créditos para o Airbnb (usuários convidados)</t>
  </si>
  <si>
    <t>Doação no nosso site</t>
  </si>
  <si>
    <t>Venda de um livro pelo PayPal</t>
  </si>
  <si>
    <t>2 livros vendidos pelo PayPal</t>
  </si>
  <si>
    <t>Venda de um livro + doação no site</t>
  </si>
  <si>
    <t>Venda de um livro em PDF</t>
  </si>
  <si>
    <t>Venda livro PayPal</t>
  </si>
  <si>
    <t>Encontramos 50 pesos na praia</t>
  </si>
  <si>
    <t>México</t>
  </si>
  <si>
    <t>Encontramos na rua</t>
  </si>
  <si>
    <t>Filipinas</t>
  </si>
  <si>
    <t>Venda livro Mucuvinha</t>
  </si>
  <si>
    <t>Pagamento Amazon (venda livro)</t>
  </si>
  <si>
    <t>Mês</t>
  </si>
  <si>
    <t>Dias</t>
  </si>
  <si>
    <t>Total em Reais</t>
  </si>
  <si>
    <t>Média</t>
  </si>
  <si>
    <t>Hospedagem</t>
  </si>
  <si>
    <t>Mercado</t>
  </si>
  <si>
    <t>Transporte</t>
  </si>
  <si>
    <t>Passeios</t>
  </si>
  <si>
    <t>Restaurantes</t>
  </si>
  <si>
    <t>Outros</t>
  </si>
  <si>
    <t>Vistos</t>
  </si>
  <si>
    <t>Reposição</t>
  </si>
  <si>
    <t>Passagens aéreas</t>
  </si>
  <si>
    <t>Patrimonios da Unesco</t>
  </si>
  <si>
    <t>CS</t>
  </si>
  <si>
    <t>Camping</t>
  </si>
  <si>
    <t>Camping selvagem</t>
  </si>
  <si>
    <t>Amigos</t>
  </si>
  <si>
    <t>Hospedagem (hotel/hostel)</t>
  </si>
  <si>
    <t>Noites Rodoviaria</t>
  </si>
  <si>
    <t>Noites bus/barco/avião</t>
  </si>
  <si>
    <t>AirBnb</t>
  </si>
  <si>
    <t>Trabalhando</t>
  </si>
  <si>
    <t>Hospedagens pagas</t>
  </si>
  <si>
    <t>Hospedagens gratuitas</t>
  </si>
  <si>
    <t>Caronas</t>
  </si>
  <si>
    <t>Set-Out</t>
  </si>
  <si>
    <t>Nov</t>
  </si>
  <si>
    <t>Dez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</si>
  <si>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</si>
  <si>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</si>
  <si>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</si>
  <si>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</si>
  <si>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</si>
  <si>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</si>
  <si>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</si>
  <si>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</si>
  <si>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</si>
  <si>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</si>
  <si>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Jan/17</t>
  </si>
  <si>
    <t>Fev/17</t>
  </si>
  <si>
    <t>Mar/17</t>
  </si>
  <si>
    <t>Abril/17</t>
  </si>
  <si>
    <t>Maio/17</t>
  </si>
  <si>
    <t>Jun/17</t>
  </si>
  <si>
    <t>Jul/17</t>
  </si>
  <si>
    <t>Ago/17</t>
  </si>
  <si>
    <t>Set/17</t>
  </si>
  <si>
    <t>Out/17</t>
  </si>
  <si>
    <t>Nov/2017</t>
  </si>
  <si>
    <t>Dez/2017</t>
  </si>
  <si>
    <t>Total passagens aéreas:</t>
  </si>
  <si>
    <t>Total da Viajona</t>
  </si>
  <si>
    <t>média dia</t>
  </si>
  <si>
    <t>média mensal</t>
  </si>
  <si>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</si>
  <si>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</si>
  <si>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</si>
  <si>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</si>
  <si>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</si>
  <si>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</si>
  <si>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</si>
  <si>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</si>
  <si>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</si>
  <si>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</si>
  <si>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</si>
  <si>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</si>
  <si>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</si>
  <si>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Reposição (R$)</t>
  </si>
  <si>
    <t>camping</t>
  </si>
  <si>
    <t>camping selvagem</t>
  </si>
  <si>
    <t>hotel</t>
  </si>
  <si>
    <t>trabalhando</t>
  </si>
  <si>
    <t>amigos</t>
  </si>
  <si>
    <t>cs</t>
  </si>
  <si>
    <t>rodoviaria</t>
  </si>
  <si>
    <t>onibus</t>
  </si>
  <si>
    <t>Carona</t>
  </si>
  <si>
    <t>total (moeda local)</t>
  </si>
  <si>
    <t>cambio</t>
  </si>
  <si>
    <t>total r$</t>
  </si>
  <si>
    <t>N País</t>
  </si>
  <si>
    <t>x</t>
  </si>
  <si>
    <t>Macuto</t>
  </si>
  <si>
    <t>total (R$)</t>
  </si>
  <si>
    <t>media</t>
  </si>
  <si>
    <t>total hospedagens gratuitas</t>
  </si>
  <si>
    <t>total Venezuela</t>
  </si>
  <si>
    <t>total Colombia</t>
  </si>
  <si>
    <t>total hospedagens pagas</t>
  </si>
  <si>
    <t>dias Venezuela</t>
  </si>
  <si>
    <t>dias Colombia</t>
  </si>
  <si>
    <t>Macuto – Colonia Tovar</t>
  </si>
  <si>
    <t>total hospegagem CS</t>
  </si>
  <si>
    <t>media Venezuela</t>
  </si>
  <si>
    <t>media Colombia</t>
  </si>
  <si>
    <t>Colonia Tovar</t>
  </si>
  <si>
    <t>total de dias</t>
  </si>
  <si>
    <t>total camping</t>
  </si>
  <si>
    <t>total hotel/hostel</t>
  </si>
  <si>
    <t>Tovar – Chichiriviche</t>
  </si>
  <si>
    <t>médias</t>
  </si>
  <si>
    <t>Chichiriviche – Maracaibo</t>
  </si>
  <si>
    <t>total hospedagem</t>
  </si>
  <si>
    <t>total camping selvagem</t>
  </si>
  <si>
    <t>Maracaibo – Maicao</t>
  </si>
  <si>
    <t>total transporte</t>
  </si>
  <si>
    <t>total ônibus</t>
  </si>
  <si>
    <t>total supermercado</t>
  </si>
  <si>
    <t>mercado</t>
  </si>
  <si>
    <t>rodoviária</t>
  </si>
  <si>
    <t>Maicao</t>
  </si>
  <si>
    <t>total restaurante</t>
  </si>
  <si>
    <t xml:space="preserve"> restaurante</t>
  </si>
  <si>
    <t>total outros</t>
  </si>
  <si>
    <t>Maicao – Cabo de la Vela</t>
  </si>
  <si>
    <t>total passeios</t>
  </si>
  <si>
    <t>Cabo de la Vela – Riohacha</t>
  </si>
  <si>
    <t>Riohacha</t>
  </si>
  <si>
    <t>Riohacha – Palomino</t>
  </si>
  <si>
    <t>Palomino</t>
  </si>
  <si>
    <t>Palomino – Santa Marta</t>
  </si>
  <si>
    <t>Santa Marta – Taganga</t>
  </si>
  <si>
    <t>Taganga</t>
  </si>
  <si>
    <t>Taganga – Cartagena</t>
  </si>
  <si>
    <t>Cartagena</t>
  </si>
  <si>
    <t>total reposição</t>
  </si>
  <si>
    <t>total Panamá</t>
  </si>
  <si>
    <t>dias Panamá</t>
  </si>
  <si>
    <t>media Panamá</t>
  </si>
  <si>
    <t>Cartagena – Monteria</t>
  </si>
  <si>
    <t>Montería – Arboletes</t>
  </si>
  <si>
    <t>Arboletes – Necoclí</t>
  </si>
  <si>
    <t>Necoclí – Capurganá</t>
  </si>
  <si>
    <t>Capurganá</t>
  </si>
  <si>
    <t>Capurganá – Puerto Obaldía</t>
  </si>
  <si>
    <t>Puerto Obaldía</t>
  </si>
  <si>
    <t>Puerto Obaldia – San Blas</t>
  </si>
  <si>
    <t>San Blas</t>
  </si>
  <si>
    <t>San Blas – Cidade do Panamá</t>
  </si>
  <si>
    <t>Cidade do Panamá</t>
  </si>
  <si>
    <t>Cidade do Panamá – David</t>
  </si>
  <si>
    <t>David – Boquete</t>
  </si>
  <si>
    <t>Boquete – David – Fronteira</t>
  </si>
  <si>
    <t>Fronteira – San José</t>
  </si>
  <si>
    <t>San José</t>
  </si>
  <si>
    <t>Vistos (R$)</t>
  </si>
  <si>
    <t>airbnb</t>
  </si>
  <si>
    <t>San José – Alajuela</t>
  </si>
  <si>
    <t>total Costa Rica</t>
  </si>
  <si>
    <t>total Nicarágua</t>
  </si>
  <si>
    <t>Alajuela</t>
  </si>
  <si>
    <t>dias Costa Rica</t>
  </si>
  <si>
    <t>dias Nicarágua</t>
  </si>
  <si>
    <t>Alajuela – San José</t>
  </si>
  <si>
    <t>media Costa Rica</t>
  </si>
  <si>
    <t>media Nicarágua</t>
  </si>
  <si>
    <t>total vistos</t>
  </si>
  <si>
    <t>San José – Playa Hermosa</t>
  </si>
  <si>
    <t>Playa Hermosa</t>
  </si>
  <si>
    <t>Playa Hermosa – Rivas (Nicarágua)</t>
  </si>
  <si>
    <t>Rivas – San Juan del Sur</t>
  </si>
  <si>
    <t>San Juan del Sur</t>
  </si>
  <si>
    <t>San Juan Del Sur – Ometepe</t>
  </si>
  <si>
    <t>Ometepe</t>
  </si>
  <si>
    <t>Ometepe – Granada</t>
  </si>
  <si>
    <t>Granada</t>
  </si>
  <si>
    <t>Granada – Manágua</t>
  </si>
  <si>
    <t>Manágua</t>
  </si>
  <si>
    <t>total Honduras</t>
  </si>
  <si>
    <t>Manágua – León</t>
  </si>
  <si>
    <t>dias Honduras</t>
  </si>
  <si>
    <t>León</t>
  </si>
  <si>
    <t>media Honduras</t>
  </si>
  <si>
    <t>León – Estelí</t>
  </si>
  <si>
    <t>Estelí</t>
  </si>
  <si>
    <t>Estelí – Somoto</t>
  </si>
  <si>
    <t>Somoto</t>
  </si>
  <si>
    <t>Somoto – Tegucigalpa</t>
  </si>
  <si>
    <t>Tegucigalpa</t>
  </si>
  <si>
    <t>Tegucigalpa – Jeticalpa</t>
  </si>
  <si>
    <t>Jeticalpa – Trujillo</t>
  </si>
  <si>
    <t>Trujillo</t>
  </si>
  <si>
    <t>Trujillo – La Ceiba</t>
  </si>
  <si>
    <t>La Ceiba</t>
  </si>
  <si>
    <t>La Ceiba – Roatán</t>
  </si>
  <si>
    <t>Roatán</t>
  </si>
  <si>
    <t>total El Salvador</t>
  </si>
  <si>
    <t>total Guatemala</t>
  </si>
  <si>
    <t>média (sem o curso)</t>
  </si>
  <si>
    <t>dias El Salvador</t>
  </si>
  <si>
    <t>dias Guatemala</t>
  </si>
  <si>
    <t>Roatán – Utila</t>
  </si>
  <si>
    <t>media El Salvador</t>
  </si>
  <si>
    <t>media Guatemala</t>
  </si>
  <si>
    <t>Utila</t>
  </si>
  <si>
    <t>Utila – La Ceiba – Copán Ruínas</t>
  </si>
  <si>
    <t>Copán Ruínas</t>
  </si>
  <si>
    <t>Copán Ruínas – Ocotepeque</t>
  </si>
  <si>
    <t>Ocotepeque – San Salvador</t>
  </si>
  <si>
    <t>San Salvador</t>
  </si>
  <si>
    <t>San Salvador – Ahuachapán</t>
  </si>
  <si>
    <t>Ahuachapán – Antigua</t>
  </si>
  <si>
    <t>Antigua</t>
  </si>
  <si>
    <t>Antígua – Panajachel</t>
  </si>
  <si>
    <t>Panajachel</t>
  </si>
  <si>
    <t>total México</t>
  </si>
  <si>
    <t>dias México</t>
  </si>
  <si>
    <t>Panajachel – Uspantán</t>
  </si>
  <si>
    <t>media México</t>
  </si>
  <si>
    <t>Uspantán – Cobán</t>
  </si>
  <si>
    <t>Cobán</t>
  </si>
  <si>
    <t>Cobán – Lanquín</t>
  </si>
  <si>
    <t>Supermercado</t>
  </si>
  <si>
    <t>Lanquín</t>
  </si>
  <si>
    <t>Lanquín – Flores</t>
  </si>
  <si>
    <t>Flores</t>
  </si>
  <si>
    <t>Flores – Palenque (Mex)</t>
  </si>
  <si>
    <t>Palenque</t>
  </si>
  <si>
    <t>caronas</t>
  </si>
  <si>
    <t>Palenque – Escárcega</t>
  </si>
  <si>
    <t>Escárcega – Bacalar</t>
  </si>
  <si>
    <t>Bacalar</t>
  </si>
  <si>
    <t>Bacalar – Mahahual</t>
  </si>
  <si>
    <t>Mahahual</t>
  </si>
  <si>
    <t>Mahahual – Tulum</t>
  </si>
  <si>
    <t>Tulum</t>
  </si>
  <si>
    <t>Tulum – Playa del Carmen</t>
  </si>
  <si>
    <t>Playa del Carmen</t>
  </si>
  <si>
    <t>total (sem comp)</t>
  </si>
  <si>
    <t>media (sem comp)</t>
  </si>
  <si>
    <t>Playa del Carmen (bate-volta em Akumal)</t>
  </si>
  <si>
    <t>Playa del Carmen (bate-volta 2 ojos)</t>
  </si>
  <si>
    <t>Playa del Carmen – Cozumel</t>
  </si>
  <si>
    <t>Cozumel</t>
  </si>
  <si>
    <t>Cozumel – Cancun</t>
  </si>
  <si>
    <t>Cancun</t>
  </si>
  <si>
    <t>Cancun (bate-volta em Playa)</t>
  </si>
  <si>
    <t>Cancun (bate-volta Isla Mujeres)</t>
  </si>
  <si>
    <t>Cancun – Valladolid</t>
  </si>
  <si>
    <t>Valladolid</t>
  </si>
  <si>
    <t>Valladolid – Mérida</t>
  </si>
  <si>
    <t>Mérida</t>
  </si>
  <si>
    <t>Mérida – Izamal – Mérida</t>
  </si>
  <si>
    <t>Mérida – Campeche</t>
  </si>
  <si>
    <t>Campeche</t>
  </si>
  <si>
    <t>Campeche – Escárcega</t>
  </si>
  <si>
    <t>Escárcega – Palenque</t>
  </si>
  <si>
    <t>Palenque – San Cristobal</t>
  </si>
  <si>
    <t>San Cristobal</t>
  </si>
  <si>
    <t>San Cristóbal de las Casas</t>
  </si>
  <si>
    <t>San Cristobal – Cidade do México</t>
  </si>
  <si>
    <t>Cidade do México</t>
  </si>
  <si>
    <t>Cidade do México – Puebla</t>
  </si>
  <si>
    <t>Puebla</t>
  </si>
  <si>
    <t>Puebla – Oaxaca</t>
  </si>
  <si>
    <t>Oaxaca</t>
  </si>
  <si>
    <t>Oaxaca – Puerto Escondido</t>
  </si>
  <si>
    <t>Puerto Escondido</t>
  </si>
  <si>
    <t>Puerto Escondido – Cuajinicuilapa</t>
  </si>
  <si>
    <t>Cuaji – Acapulco</t>
  </si>
  <si>
    <t>Acapulco</t>
  </si>
  <si>
    <t>Acapulco – Lázaro Cárdenas</t>
  </si>
  <si>
    <t>Lázaro Cárdenas</t>
  </si>
  <si>
    <t>Lázaro Cárdenas – Uruapan</t>
  </si>
  <si>
    <t>Uruapan – Tangamandapio</t>
  </si>
  <si>
    <t>Tangamandapio – Morelia</t>
  </si>
  <si>
    <t>Morelia</t>
  </si>
  <si>
    <t>Morelia – Zitácuaro</t>
  </si>
  <si>
    <t>Zitácuaro</t>
  </si>
  <si>
    <t>Zitácuaro – Cidade do México</t>
  </si>
  <si>
    <t>Cidade do México – Los Angeles</t>
  </si>
  <si>
    <t>Los Angeles – Taipei</t>
  </si>
  <si>
    <t>Taipei – Manila</t>
  </si>
  <si>
    <t>Onibus/barco</t>
  </si>
  <si>
    <t>Manila</t>
  </si>
  <si>
    <t>total Filipinas</t>
  </si>
  <si>
    <t>dias Filipinas</t>
  </si>
  <si>
    <t>media Filipinas</t>
  </si>
  <si>
    <t>Manila – Coron</t>
  </si>
  <si>
    <t>Coron</t>
  </si>
  <si>
    <t>Coron – Nido</t>
  </si>
  <si>
    <t>Nido</t>
  </si>
  <si>
    <t>Nido – Puerto Princesa</t>
  </si>
  <si>
    <t>Puerto Princesa</t>
  </si>
  <si>
    <t>Puerto Princesa – Cuyo</t>
  </si>
  <si>
    <t>Cuyo</t>
  </si>
  <si>
    <t>Cuyo – Iloilo</t>
  </si>
  <si>
    <t>Iloilo</t>
  </si>
  <si>
    <t>Iloilo – Boracay</t>
  </si>
  <si>
    <t>Boracay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</si>
</sst>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[$R$-416]\ #,##0.00;[RED]\-[$R$-416]\ #,##0.00"/>
    <numFmt numFmtId="167" formatCode="[$R$-416]\ #,##0.00;\-[$R$-416]\ #,##0.00"/>
    <numFmt numFmtId="168" formatCode="0.00"/>
    <numFmt numFmtId="169" formatCode="D/M/YY"/>
    <numFmt numFmtId="170" formatCode="[$R$-416]\ #,##0;\-[$R$-416]\ #,##0"/>
  </numFmts>
  <fonts count="5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0" fillId="6" borderId="0" xfId="0" applyNumberForma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 wrapText="1" shrinkToFit="1"/>
    </xf>
    <xf numFmtId="164" fontId="0" fillId="3" borderId="0" xfId="0" applyNumberFormat="1" applyFont="1" applyFill="1" applyAlignment="1">
      <alignment horizontal="center" vertical="center" wrapText="1" shrinkToFit="1"/>
    </xf>
    <xf numFmtId="164" fontId="0" fillId="4" borderId="0" xfId="0" applyNumberFormat="1" applyFont="1" applyFill="1" applyAlignment="1">
      <alignment horizontal="center" vertical="center" wrapText="1" shrinkToFit="1"/>
    </xf>
    <xf numFmtId="164" fontId="0" fillId="5" borderId="0" xfId="0" applyNumberFormat="1" applyFont="1" applyFill="1" applyAlignment="1">
      <alignment horizontal="center" vertical="center" wrapText="1" shrinkToFit="1"/>
    </xf>
    <xf numFmtId="164" fontId="0" fillId="6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8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99"/>
      <rgbColor rgb="00CC99FF"/>
      <rgbColor rgb="00FFCC99"/>
      <rgbColor rgb="004472C4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  <c:firstSliceAng val="180"/>
      </c:pieChart>
      <c:spPr>
        <a:noFill/>
        <a:ln w="127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  <c:firstSliceAng val="180"/>
      </c:pieChart>
      <c:spPr>
        <a:noFill/>
        <a:ln w="127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  <c:firstSliceAng val="180"/>
      </c:pieChart>
      <c:spPr>
        <a:noFill/>
        <a:ln w="127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  <c:firstSliceAng val="180"/>
      </c:pieChart>
      <c:spPr>
        <a:noFill/>
        <a:ln w="127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  <c:firstSliceAng val="180"/>
      </c:pieChart>
      <c:spPr>
        <a:noFill/>
        <a:ln w="127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  <c:firstSliceAng val="180"/>
      </c:pieChart>
      <c:spPr>
        <a:noFill/>
        <a:ln w="127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476250</xdr:colOff>
      <xdr:row>11</xdr:row>
      <xdr:rowOff>95250</xdr:rowOff>
    </xdr:from>
    <xdr:to>
      <xdr:col>47</xdr:col>
      <xdr:colOff>19050</xdr:colOff>
      <xdr:row>28</xdr:row>
      <xdr:rowOff>152400</xdr:rowOff>
    </xdr:to>
    <xdr:graphicFrame>
      <xdr:nvGraphicFramePr>
        <xdr:cNvPr id="1" name="Chart 31"/>
        <xdr:cNvGraphicFramePr/>
      </xdr:nvGraphicFramePr>
      <xdr:xfrm>
        <a:off x="28336875" y="2085975"/>
        <a:ext cx="6238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476250</xdr:colOff>
      <xdr:row>11</xdr:row>
      <xdr:rowOff>95250</xdr:rowOff>
    </xdr:from>
    <xdr:to>
      <xdr:col>47</xdr:col>
      <xdr:colOff>19050</xdr:colOff>
      <xdr:row>28</xdr:row>
      <xdr:rowOff>133350</xdr:rowOff>
    </xdr:to>
    <xdr:graphicFrame>
      <xdr:nvGraphicFramePr>
        <xdr:cNvPr id="1" name="Chart 16"/>
        <xdr:cNvGraphicFramePr/>
      </xdr:nvGraphicFramePr>
      <xdr:xfrm>
        <a:off x="28336875" y="2047875"/>
        <a:ext cx="6238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476250</xdr:colOff>
      <xdr:row>11</xdr:row>
      <xdr:rowOff>95250</xdr:rowOff>
    </xdr:from>
    <xdr:to>
      <xdr:col>47</xdr:col>
      <xdr:colOff>19050</xdr:colOff>
      <xdr:row>28</xdr:row>
      <xdr:rowOff>133350</xdr:rowOff>
    </xdr:to>
    <xdr:graphicFrame>
      <xdr:nvGraphicFramePr>
        <xdr:cNvPr id="1" name="Chart 37"/>
        <xdr:cNvGraphicFramePr/>
      </xdr:nvGraphicFramePr>
      <xdr:xfrm>
        <a:off x="28336875" y="2085975"/>
        <a:ext cx="6238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476250</xdr:colOff>
      <xdr:row>11</xdr:row>
      <xdr:rowOff>95250</xdr:rowOff>
    </xdr:from>
    <xdr:to>
      <xdr:col>50</xdr:col>
      <xdr:colOff>19050</xdr:colOff>
      <xdr:row>28</xdr:row>
      <xdr:rowOff>152400</xdr:rowOff>
    </xdr:to>
    <xdr:graphicFrame>
      <xdr:nvGraphicFramePr>
        <xdr:cNvPr id="1" name="Chart 23"/>
        <xdr:cNvGraphicFramePr/>
      </xdr:nvGraphicFramePr>
      <xdr:xfrm>
        <a:off x="29956125" y="2047875"/>
        <a:ext cx="6238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476250</xdr:colOff>
      <xdr:row>11</xdr:row>
      <xdr:rowOff>123825</xdr:rowOff>
    </xdr:from>
    <xdr:to>
      <xdr:col>50</xdr:col>
      <xdr:colOff>19050</xdr:colOff>
      <xdr:row>28</xdr:row>
      <xdr:rowOff>180975</xdr:rowOff>
    </xdr:to>
    <xdr:graphicFrame>
      <xdr:nvGraphicFramePr>
        <xdr:cNvPr id="1" name="Chart 27"/>
        <xdr:cNvGraphicFramePr/>
      </xdr:nvGraphicFramePr>
      <xdr:xfrm>
        <a:off x="29956125" y="2114550"/>
        <a:ext cx="6238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476250</xdr:colOff>
      <xdr:row>11</xdr:row>
      <xdr:rowOff>123825</xdr:rowOff>
    </xdr:from>
    <xdr:to>
      <xdr:col>50</xdr:col>
      <xdr:colOff>19050</xdr:colOff>
      <xdr:row>28</xdr:row>
      <xdr:rowOff>161925</xdr:rowOff>
    </xdr:to>
    <xdr:graphicFrame>
      <xdr:nvGraphicFramePr>
        <xdr:cNvPr id="1" name="Chart 27"/>
        <xdr:cNvGraphicFramePr/>
      </xdr:nvGraphicFramePr>
      <xdr:xfrm>
        <a:off x="30184725" y="2114550"/>
        <a:ext cx="6238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zoomScale="95" zoomScaleNormal="95" workbookViewId="0" topLeftCell="A1">
      <selection activeCell="J14" sqref="J14"/>
    </sheetView>
  </sheetViews>
  <sheetFormatPr defaultColWidth="11.00390625" defaultRowHeight="14.25"/>
  <cols>
    <col min="1" max="1" width="2.50390625" style="1" customWidth="1"/>
    <col min="2" max="2" width="10.625" style="1" customWidth="1"/>
    <col min="3" max="3" width="6.75390625" style="1" customWidth="1"/>
    <col min="4" max="4" width="39.875" style="1" customWidth="1"/>
    <col min="5" max="6" width="10.625" style="1" customWidth="1"/>
    <col min="7" max="7" width="12.875" style="1" customWidth="1"/>
    <col min="8" max="8" width="10.625" style="1" customWidth="1"/>
    <col min="9" max="9" width="15.375" style="1" customWidth="1"/>
    <col min="10" max="10" width="11.75390625" style="1" customWidth="1"/>
    <col min="11" max="16384" width="10.625" style="1" customWidth="1"/>
  </cols>
  <sheetData>
    <row r="1" spans="2:7" ht="12.75">
      <c r="B1" s="1" t="s">
        <v>0</v>
      </c>
      <c r="C1" s="1" t="s">
        <v>1</v>
      </c>
      <c r="E1" s="1" t="s">
        <v>2</v>
      </c>
      <c r="F1" s="1" t="s">
        <v>3</v>
      </c>
      <c r="G1" s="1" t="s">
        <v>4</v>
      </c>
    </row>
    <row r="2" spans="2:7" ht="12.75">
      <c r="B2" s="2">
        <v>42342</v>
      </c>
      <c r="C2" s="1">
        <v>112</v>
      </c>
      <c r="D2" s="1" t="s">
        <v>5</v>
      </c>
      <c r="E2" s="1" t="s">
        <v>6</v>
      </c>
      <c r="F2" s="1">
        <v>0.25</v>
      </c>
      <c r="G2" s="3">
        <f>C2*F2</f>
        <v>28</v>
      </c>
    </row>
    <row r="3" spans="2:10" ht="12.75">
      <c r="B3" s="2">
        <v>42342</v>
      </c>
      <c r="C3" s="1">
        <v>30</v>
      </c>
      <c r="D3" s="1" t="s">
        <v>7</v>
      </c>
      <c r="E3" s="1" t="s">
        <v>6</v>
      </c>
      <c r="F3" s="1">
        <v>0.25</v>
      </c>
      <c r="G3" s="3">
        <f>C3*F3</f>
        <v>7.5</v>
      </c>
      <c r="I3" s="1" t="s">
        <v>8</v>
      </c>
      <c r="J3" s="3">
        <f>SUM(G2:G12)</f>
        <v>637.34</v>
      </c>
    </row>
    <row r="4" spans="2:10" ht="12.75">
      <c r="B4" s="2">
        <v>42343</v>
      </c>
      <c r="C4" s="1">
        <v>5</v>
      </c>
      <c r="D4" s="1" t="s">
        <v>7</v>
      </c>
      <c r="E4" s="1" t="s">
        <v>6</v>
      </c>
      <c r="F4" s="1">
        <v>0.25</v>
      </c>
      <c r="G4" s="3">
        <f>C4*F4</f>
        <v>1.25</v>
      </c>
      <c r="I4" s="1" t="s">
        <v>9</v>
      </c>
      <c r="J4" s="3">
        <f>SUM(G13:G42)</f>
        <v>3125.6378799999998</v>
      </c>
    </row>
    <row r="5" spans="2:10" ht="12.75">
      <c r="B5" s="2">
        <v>42344</v>
      </c>
      <c r="C5" s="1">
        <v>20</v>
      </c>
      <c r="D5" s="1" t="s">
        <v>10</v>
      </c>
      <c r="E5" s="1" t="s">
        <v>6</v>
      </c>
      <c r="F5" s="1">
        <v>0.25</v>
      </c>
      <c r="G5" s="3">
        <f>C5*F5</f>
        <v>5</v>
      </c>
      <c r="I5" s="1" t="s">
        <v>11</v>
      </c>
      <c r="J5" s="3">
        <f>SUM(G43:G80)</f>
        <v>9.9</v>
      </c>
    </row>
    <row r="6" spans="2:7" ht="12.75">
      <c r="B6" s="2">
        <v>42347</v>
      </c>
      <c r="C6" s="1">
        <v>50</v>
      </c>
      <c r="D6" s="1" t="s">
        <v>12</v>
      </c>
      <c r="E6" s="1" t="s">
        <v>6</v>
      </c>
      <c r="F6" s="1">
        <v>0.25</v>
      </c>
      <c r="G6" s="3">
        <f>C6*F6</f>
        <v>12.5</v>
      </c>
    </row>
    <row r="7" spans="2:7" ht="12.75">
      <c r="B7" s="2">
        <v>42351</v>
      </c>
      <c r="C7" s="1">
        <v>20</v>
      </c>
      <c r="D7" s="1" t="s">
        <v>13</v>
      </c>
      <c r="E7" s="1" t="s">
        <v>6</v>
      </c>
      <c r="F7" s="1">
        <v>0.25</v>
      </c>
      <c r="G7" s="3">
        <f>C7*F7</f>
        <v>5</v>
      </c>
    </row>
    <row r="8" spans="2:10" ht="12.75">
      <c r="B8" s="2">
        <v>42352</v>
      </c>
      <c r="C8" s="1">
        <v>250</v>
      </c>
      <c r="D8" s="1" t="s">
        <v>5</v>
      </c>
      <c r="E8" s="1" t="s">
        <v>6</v>
      </c>
      <c r="F8" s="1">
        <v>0.25</v>
      </c>
      <c r="G8" s="3">
        <f>C8*F8</f>
        <v>62.5</v>
      </c>
      <c r="I8" s="1" t="s">
        <v>14</v>
      </c>
      <c r="J8" s="3">
        <f>SUM(J3:J7)</f>
        <v>3772.87788</v>
      </c>
    </row>
    <row r="9" spans="2:7" ht="12.75">
      <c r="B9" s="2">
        <v>42423</v>
      </c>
      <c r="C9" s="1">
        <v>100</v>
      </c>
      <c r="D9" s="1" t="s">
        <v>15</v>
      </c>
      <c r="E9" s="1" t="s">
        <v>6</v>
      </c>
      <c r="F9" s="1">
        <v>4</v>
      </c>
      <c r="G9" s="3">
        <f>C9*F9</f>
        <v>400</v>
      </c>
    </row>
    <row r="10" spans="2:7" ht="12.75">
      <c r="B10" s="2">
        <v>42511</v>
      </c>
      <c r="C10" s="1">
        <v>10</v>
      </c>
      <c r="D10" s="1" t="s">
        <v>16</v>
      </c>
      <c r="E10" s="1" t="s">
        <v>17</v>
      </c>
      <c r="F10" s="1">
        <v>1.1</v>
      </c>
      <c r="G10" s="3">
        <f>C10*F10</f>
        <v>11</v>
      </c>
    </row>
    <row r="11" spans="2:7" ht="12.75">
      <c r="B11" s="2">
        <v>42516</v>
      </c>
      <c r="C11" s="1">
        <v>1</v>
      </c>
      <c r="D11" s="1" t="s">
        <v>18</v>
      </c>
      <c r="E11" s="1" t="s">
        <v>17</v>
      </c>
      <c r="F11" s="1">
        <v>1.1</v>
      </c>
      <c r="G11" s="3">
        <f>C11*F11</f>
        <v>1.1</v>
      </c>
    </row>
    <row r="12" spans="2:7" ht="12.75">
      <c r="B12" s="2">
        <v>42653</v>
      </c>
      <c r="C12" s="1">
        <v>103.49</v>
      </c>
      <c r="D12" s="1" t="s">
        <v>19</v>
      </c>
      <c r="F12" s="1">
        <v>1</v>
      </c>
      <c r="G12" s="3">
        <f>C12*F12</f>
        <v>103.49</v>
      </c>
    </row>
    <row r="13" spans="2:7" ht="12.75">
      <c r="B13" s="2">
        <v>42745</v>
      </c>
      <c r="C13" s="1">
        <v>111.79</v>
      </c>
      <c r="D13" s="1" t="s">
        <v>19</v>
      </c>
      <c r="F13" s="1">
        <v>1</v>
      </c>
      <c r="G13" s="3">
        <f>C13*F13</f>
        <v>111.79</v>
      </c>
    </row>
    <row r="14" spans="2:7" ht="12.75">
      <c r="B14" s="2">
        <v>42797</v>
      </c>
      <c r="C14" s="1">
        <v>117.59</v>
      </c>
      <c r="D14" s="1" t="s">
        <v>19</v>
      </c>
      <c r="F14" s="1">
        <v>1</v>
      </c>
      <c r="G14" s="3">
        <f>C14*F14</f>
        <v>117.59</v>
      </c>
    </row>
    <row r="15" spans="2:7" ht="12.75">
      <c r="B15" s="2">
        <v>42817</v>
      </c>
      <c r="C15" s="1">
        <v>331.43</v>
      </c>
      <c r="D15" s="1" t="s">
        <v>20</v>
      </c>
      <c r="F15" s="1">
        <v>1</v>
      </c>
      <c r="G15" s="3">
        <f>C15*F15</f>
        <v>331.43</v>
      </c>
    </row>
    <row r="16" spans="2:7" ht="12.75">
      <c r="B16" s="2">
        <v>42844</v>
      </c>
      <c r="C16" s="1">
        <v>20</v>
      </c>
      <c r="D16" s="1" t="s">
        <v>21</v>
      </c>
      <c r="E16" s="1" t="s">
        <v>22</v>
      </c>
      <c r="F16" s="1">
        <v>3.15</v>
      </c>
      <c r="G16" s="3">
        <f>C16*F16</f>
        <v>63</v>
      </c>
    </row>
    <row r="17" spans="2:7" ht="12.75">
      <c r="B17" s="2">
        <v>42902</v>
      </c>
      <c r="C17" s="1">
        <v>177.9</v>
      </c>
      <c r="D17" s="1" t="s">
        <v>23</v>
      </c>
      <c r="F17" s="1">
        <v>1</v>
      </c>
      <c r="G17" s="3">
        <f>C17*F17</f>
        <v>177.9</v>
      </c>
    </row>
    <row r="18" spans="2:7" ht="12.75">
      <c r="B18" s="2">
        <v>42940</v>
      </c>
      <c r="C18" s="1">
        <v>327.9</v>
      </c>
      <c r="D18" s="1" t="s">
        <v>20</v>
      </c>
      <c r="F18" s="1">
        <v>1</v>
      </c>
      <c r="G18" s="3">
        <f>C18*F18</f>
        <v>327.9</v>
      </c>
    </row>
    <row r="19" spans="2:7" ht="12.75">
      <c r="B19" s="2">
        <v>42944</v>
      </c>
      <c r="C19" s="1">
        <v>240</v>
      </c>
      <c r="D19" s="1" t="s">
        <v>24</v>
      </c>
      <c r="F19" s="1">
        <v>1</v>
      </c>
      <c r="G19" s="3">
        <f>C19*F19</f>
        <v>240</v>
      </c>
    </row>
    <row r="20" spans="2:7" ht="12.75">
      <c r="B20" s="2">
        <v>42957</v>
      </c>
      <c r="C20" s="1">
        <v>50</v>
      </c>
      <c r="D20" s="1" t="s">
        <v>24</v>
      </c>
      <c r="F20" s="1">
        <v>1</v>
      </c>
      <c r="G20" s="3">
        <f>C20*F20</f>
        <v>50</v>
      </c>
    </row>
    <row r="21" spans="2:7" ht="12.75">
      <c r="B21" s="2">
        <v>42985</v>
      </c>
      <c r="C21" s="1">
        <v>34.72</v>
      </c>
      <c r="D21" s="1" t="s">
        <v>23</v>
      </c>
      <c r="F21" s="1">
        <v>3.03</v>
      </c>
      <c r="G21" s="3">
        <f>C21*F21</f>
        <v>105.20159999999998</v>
      </c>
    </row>
    <row r="22" spans="2:7" ht="12.75">
      <c r="B22" s="2">
        <v>42988</v>
      </c>
      <c r="C22" s="1">
        <v>64.52</v>
      </c>
      <c r="D22" s="1" t="s">
        <v>25</v>
      </c>
      <c r="F22" s="1">
        <v>3.03</v>
      </c>
      <c r="G22" s="3">
        <f>C22*F22</f>
        <v>195.49559999999997</v>
      </c>
    </row>
    <row r="23" spans="2:7" ht="12.75">
      <c r="B23" s="2">
        <v>42967</v>
      </c>
      <c r="C23" s="1">
        <v>50</v>
      </c>
      <c r="D23" s="1" t="s">
        <v>24</v>
      </c>
      <c r="F23" s="1">
        <v>1</v>
      </c>
      <c r="G23" s="3">
        <f>C23*F23</f>
        <v>50</v>
      </c>
    </row>
    <row r="24" spans="2:7" ht="12.75">
      <c r="B24" s="2">
        <v>43005</v>
      </c>
      <c r="C24" s="1">
        <v>8.81</v>
      </c>
      <c r="D24" s="1" t="s">
        <v>26</v>
      </c>
      <c r="F24" s="1">
        <v>1</v>
      </c>
      <c r="G24" s="3">
        <f>C24*F24</f>
        <v>8.81</v>
      </c>
    </row>
    <row r="25" spans="2:7" ht="12.75">
      <c r="B25" s="2">
        <v>42981</v>
      </c>
      <c r="C25" s="1">
        <f>8.81*2</f>
        <v>17.62</v>
      </c>
      <c r="D25" s="1" t="s">
        <v>27</v>
      </c>
      <c r="F25" s="1">
        <v>1</v>
      </c>
      <c r="G25" s="3">
        <f>C25*F25</f>
        <v>17.62</v>
      </c>
    </row>
    <row r="26" spans="2:9" ht="12.75">
      <c r="B26" s="2">
        <v>43033</v>
      </c>
      <c r="C26" s="1">
        <v>393</v>
      </c>
      <c r="D26" s="1" t="s">
        <v>20</v>
      </c>
      <c r="F26" s="1">
        <v>1</v>
      </c>
      <c r="G26" s="3">
        <f>C26*F26</f>
        <v>393</v>
      </c>
      <c r="I26" s="2"/>
    </row>
    <row r="27" spans="2:7" ht="12.75">
      <c r="B27" s="2">
        <v>43040</v>
      </c>
      <c r="C27" s="1">
        <v>100</v>
      </c>
      <c r="D27" s="1" t="s">
        <v>28</v>
      </c>
      <c r="F27" s="1">
        <v>1</v>
      </c>
      <c r="G27" s="3">
        <f>C27*F27</f>
        <v>100</v>
      </c>
    </row>
    <row r="28" spans="2:7" ht="12.75">
      <c r="B28" s="2">
        <v>43041</v>
      </c>
      <c r="C28" s="1">
        <v>8.81</v>
      </c>
      <c r="D28" s="1" t="s">
        <v>26</v>
      </c>
      <c r="F28" s="1">
        <v>1</v>
      </c>
      <c r="G28" s="3">
        <f>C28*F28</f>
        <v>8.81</v>
      </c>
    </row>
    <row r="29" spans="2:7" ht="12.75">
      <c r="B29" s="2">
        <v>43042</v>
      </c>
      <c r="C29" s="1">
        <v>50</v>
      </c>
      <c r="D29" s="1" t="s">
        <v>24</v>
      </c>
      <c r="F29" s="1">
        <v>1</v>
      </c>
      <c r="G29" s="3">
        <f>C29*F29</f>
        <v>50</v>
      </c>
    </row>
    <row r="30" spans="2:7" ht="12.75">
      <c r="B30" s="2">
        <v>43044</v>
      </c>
      <c r="C30" s="1">
        <v>50</v>
      </c>
      <c r="D30" s="1" t="s">
        <v>24</v>
      </c>
      <c r="F30" s="1">
        <v>1</v>
      </c>
      <c r="G30" s="3">
        <f>C30*F30</f>
        <v>50</v>
      </c>
    </row>
    <row r="31" spans="2:7" ht="12.75">
      <c r="B31" s="2">
        <v>43045</v>
      </c>
      <c r="C31" s="1">
        <v>9.9</v>
      </c>
      <c r="D31" s="1" t="s">
        <v>29</v>
      </c>
      <c r="F31" s="1">
        <v>1</v>
      </c>
      <c r="G31" s="3">
        <f>C31*F31</f>
        <v>9.9</v>
      </c>
    </row>
    <row r="32" spans="2:7" ht="12.75">
      <c r="B32" s="2">
        <v>43046</v>
      </c>
      <c r="C32" s="1">
        <v>50</v>
      </c>
      <c r="D32" s="1" t="s">
        <v>28</v>
      </c>
      <c r="F32" s="1">
        <v>1</v>
      </c>
      <c r="G32" s="3">
        <f>C32*F32</f>
        <v>50</v>
      </c>
    </row>
    <row r="33" spans="2:7" ht="12.75">
      <c r="B33" s="2">
        <v>43047</v>
      </c>
      <c r="C33" s="1">
        <v>39.29</v>
      </c>
      <c r="D33" s="1" t="s">
        <v>19</v>
      </c>
      <c r="F33" s="1">
        <v>3.142</v>
      </c>
      <c r="G33" s="3">
        <f>C33*F33</f>
        <v>123.44918</v>
      </c>
    </row>
    <row r="34" spans="2:7" ht="12.75">
      <c r="B34" s="2">
        <v>43048</v>
      </c>
      <c r="C34" s="1">
        <v>8.8</v>
      </c>
      <c r="D34" s="1" t="s">
        <v>30</v>
      </c>
      <c r="F34" s="1">
        <v>1</v>
      </c>
      <c r="G34" s="3">
        <f>C34*F34</f>
        <v>8.8</v>
      </c>
    </row>
    <row r="35" spans="2:7" ht="12.75">
      <c r="B35" s="2">
        <v>43049</v>
      </c>
      <c r="C35" s="1">
        <v>50</v>
      </c>
      <c r="D35" s="1" t="s">
        <v>31</v>
      </c>
      <c r="E35" s="1" t="s">
        <v>32</v>
      </c>
      <c r="F35" s="1">
        <v>0.18</v>
      </c>
      <c r="G35" s="3">
        <f>C35*F35</f>
        <v>9</v>
      </c>
    </row>
    <row r="36" spans="2:7" ht="12.75">
      <c r="B36" s="2">
        <v>43060</v>
      </c>
      <c r="C36" s="1">
        <v>50</v>
      </c>
      <c r="D36" s="1" t="s">
        <v>24</v>
      </c>
      <c r="F36" s="1">
        <v>1</v>
      </c>
      <c r="G36" s="3">
        <f>C36*F36</f>
        <v>50</v>
      </c>
    </row>
    <row r="37" spans="2:7" ht="12.75">
      <c r="B37" s="2">
        <v>43062</v>
      </c>
      <c r="C37" s="1">
        <v>50</v>
      </c>
      <c r="D37" s="1" t="s">
        <v>24</v>
      </c>
      <c r="F37" s="1">
        <v>1</v>
      </c>
      <c r="G37" s="3">
        <f>C37*F37</f>
        <v>50</v>
      </c>
    </row>
    <row r="38" spans="2:7" ht="12.75">
      <c r="B38" s="2">
        <v>43063</v>
      </c>
      <c r="C38" s="1">
        <v>50</v>
      </c>
      <c r="D38" s="1" t="s">
        <v>24</v>
      </c>
      <c r="F38" s="1">
        <v>1</v>
      </c>
      <c r="G38" s="3">
        <f>C38*F38</f>
        <v>50</v>
      </c>
    </row>
    <row r="39" spans="2:7" ht="12.75">
      <c r="B39" s="2">
        <v>43054</v>
      </c>
      <c r="C39" s="1">
        <v>50</v>
      </c>
      <c r="D39" s="1" t="s">
        <v>33</v>
      </c>
      <c r="E39" s="1" t="s">
        <v>34</v>
      </c>
      <c r="F39" s="4">
        <v>0.07063000000000001</v>
      </c>
      <c r="G39" s="3">
        <f>C39*F39</f>
        <v>3.5315000000000007</v>
      </c>
    </row>
    <row r="40" spans="2:7" ht="12.75">
      <c r="B40" s="2">
        <v>43063</v>
      </c>
      <c r="C40" s="1">
        <v>20</v>
      </c>
      <c r="D40" s="1" t="s">
        <v>35</v>
      </c>
      <c r="F40" s="1">
        <v>1</v>
      </c>
      <c r="G40" s="3">
        <f>C40*F40</f>
        <v>20</v>
      </c>
    </row>
    <row r="41" spans="2:7" ht="12.75">
      <c r="B41" s="2">
        <v>43097</v>
      </c>
      <c r="C41" s="1">
        <v>348.95</v>
      </c>
      <c r="D41" s="1" t="s">
        <v>20</v>
      </c>
      <c r="F41" s="1">
        <v>1</v>
      </c>
      <c r="G41" s="3">
        <f>C41*F41</f>
        <v>348.95</v>
      </c>
    </row>
    <row r="42" spans="2:7" ht="12.75">
      <c r="B42" s="2">
        <v>43098</v>
      </c>
      <c r="C42" s="1">
        <v>3.46</v>
      </c>
      <c r="D42" s="1" t="s">
        <v>36</v>
      </c>
      <c r="F42" s="1">
        <v>1</v>
      </c>
      <c r="G42" s="3">
        <f>C42*F42</f>
        <v>3.46</v>
      </c>
    </row>
    <row r="43" spans="2:7" ht="12.75">
      <c r="B43" s="2">
        <v>42737</v>
      </c>
      <c r="C43" s="1">
        <v>9.9</v>
      </c>
      <c r="D43" s="1" t="s">
        <v>35</v>
      </c>
      <c r="F43" s="1">
        <v>1</v>
      </c>
      <c r="G43" s="3">
        <f>C43*F43</f>
        <v>9.9</v>
      </c>
    </row>
    <row r="44" ht="12.75">
      <c r="G44" s="3">
        <f>C44*F44</f>
        <v>0</v>
      </c>
    </row>
    <row r="45" ht="12.75">
      <c r="G45" s="3">
        <f>C45*F45</f>
        <v>0</v>
      </c>
    </row>
    <row r="46" ht="12.75">
      <c r="G46" s="3">
        <f>C46*F46</f>
        <v>0</v>
      </c>
    </row>
    <row r="47" ht="12.75">
      <c r="G47" s="3">
        <f>C47*F47</f>
        <v>0</v>
      </c>
    </row>
    <row r="48" ht="12.75">
      <c r="G48" s="3">
        <f>C48*F48</f>
        <v>0</v>
      </c>
    </row>
    <row r="49" ht="12.75">
      <c r="G49" s="3">
        <f>C49*F49</f>
        <v>0</v>
      </c>
    </row>
    <row r="50" ht="12.75">
      <c r="G50" s="3">
        <f>C50*F50</f>
        <v>0</v>
      </c>
    </row>
    <row r="51" ht="12.75">
      <c r="G51" s="3">
        <f>C51*F51</f>
        <v>0</v>
      </c>
    </row>
    <row r="52" ht="12.75">
      <c r="G52" s="3">
        <f>C52*F52</f>
        <v>0</v>
      </c>
    </row>
    <row r="53" ht="12.75">
      <c r="G53" s="3">
        <f>C53*F53</f>
        <v>0</v>
      </c>
    </row>
    <row r="54" ht="12.75">
      <c r="G54" s="3">
        <f>C54*F54</f>
        <v>0</v>
      </c>
    </row>
    <row r="55" ht="12.75">
      <c r="G55" s="3">
        <f>C55*F55</f>
        <v>0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K1">
      <selection activeCell="N15" sqref="N15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4.625" style="4" customWidth="1"/>
    <col min="48" max="48" width="7.375" style="4" customWidth="1"/>
    <col min="49" max="49" width="10.625" style="4" customWidth="1"/>
    <col min="50" max="50" width="11.87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42948</v>
      </c>
      <c r="C2" s="4">
        <f>B2*AD2</f>
        <v>0</v>
      </c>
      <c r="D2" s="4">
        <f>32+43</f>
        <v>75</v>
      </c>
      <c r="E2" s="4">
        <f>D2*AD2</f>
        <v>14.577375</v>
      </c>
      <c r="G2" s="4">
        <f>F2*AD2</f>
        <v>0</v>
      </c>
      <c r="I2" s="4">
        <f>H2*AD2</f>
        <v>0</v>
      </c>
      <c r="J2" s="4">
        <v>100</v>
      </c>
      <c r="K2" s="4">
        <f>J2*AD2</f>
        <v>19.436500000000002</v>
      </c>
      <c r="L2" s="4">
        <v>222</v>
      </c>
      <c r="M2" s="4">
        <f>L2*AD2</f>
        <v>43.14903</v>
      </c>
      <c r="O2" s="4">
        <f>N2*AD2</f>
        <v>0</v>
      </c>
      <c r="Q2" s="4">
        <f>P2*AD2</f>
        <v>0</v>
      </c>
      <c r="Y2" s="4" t="s">
        <v>119</v>
      </c>
      <c r="AB2" s="4" t="s">
        <v>265</v>
      </c>
      <c r="AC2" s="4">
        <f>B2+D2+F2+H2+J2+L2+N2+P2</f>
        <v>397</v>
      </c>
      <c r="AD2" s="4">
        <f>777.46/4000</f>
        <v>0.194365</v>
      </c>
      <c r="AE2" s="24">
        <f>AC2*AD2</f>
        <v>77.16290500000001</v>
      </c>
      <c r="AG2" s="4">
        <v>14</v>
      </c>
      <c r="AI2" s="4" t="s">
        <v>121</v>
      </c>
      <c r="AJ2" s="4">
        <f>SUM($AE$2:$AE$994)</f>
        <v>4025.2238050000005</v>
      </c>
      <c r="AL2" s="4" t="s">
        <v>122</v>
      </c>
      <c r="AM2" s="28">
        <f>$AJ$2/$AJ$5</f>
        <v>129.84592919354841</v>
      </c>
      <c r="AO2" s="4" t="s">
        <v>123</v>
      </c>
      <c r="AP2" s="4">
        <f>COUNTBLANK(L2:L40)-COUNTBLANK(A2:A40)</f>
        <v>4</v>
      </c>
      <c r="AQ2" s="29"/>
      <c r="AR2" s="29"/>
      <c r="AS2" s="29"/>
      <c r="AT2" s="29"/>
      <c r="AU2" s="29"/>
      <c r="AV2" s="29"/>
      <c r="AW2" s="29"/>
      <c r="AX2" s="29" t="s">
        <v>243</v>
      </c>
      <c r="AY2" s="29">
        <f>SUMIF($AG$2:$AG$44,"=14",$AE$2:$AE$44)</f>
        <v>4025.2238050000005</v>
      </c>
      <c r="AZ2" s="29"/>
      <c r="BB2" s="5"/>
      <c r="BC2" s="5"/>
    </row>
    <row r="3" spans="1:55" ht="14.25">
      <c r="A3" s="27">
        <v>42949</v>
      </c>
      <c r="C3" s="4">
        <f>B3*AD3</f>
        <v>0</v>
      </c>
      <c r="D3" s="4">
        <f>205+37.5</f>
        <v>242.5</v>
      </c>
      <c r="E3" s="4">
        <f>D3*AD3</f>
        <v>45.80825</v>
      </c>
      <c r="G3" s="4">
        <f>F3*AD3</f>
        <v>0</v>
      </c>
      <c r="I3" s="4">
        <f>H3*AD3</f>
        <v>0</v>
      </c>
      <c r="K3" s="4">
        <f>J3*AD3</f>
        <v>0</v>
      </c>
      <c r="L3" s="4">
        <v>229</v>
      </c>
      <c r="M3" s="4">
        <f>L3*AD3</f>
        <v>43.258100000000006</v>
      </c>
      <c r="O3" s="4">
        <f>N3*AD3</f>
        <v>0</v>
      </c>
      <c r="Q3" s="4">
        <f>P3*AD3</f>
        <v>0</v>
      </c>
      <c r="Y3" s="4" t="s">
        <v>119</v>
      </c>
      <c r="AB3" s="4" t="s">
        <v>265</v>
      </c>
      <c r="AC3" s="4">
        <f>B3+D3+F3+H3+J3+L3+N3+P3</f>
        <v>471.5</v>
      </c>
      <c r="AD3" s="4">
        <v>0.1889</v>
      </c>
      <c r="AE3" s="24">
        <f>AC3*AD3</f>
        <v>89.06635</v>
      </c>
      <c r="AG3" s="4">
        <v>14</v>
      </c>
      <c r="AI3" s="30" t="s">
        <v>266</v>
      </c>
      <c r="AJ3" s="4">
        <f>SUM($AE$2:$AE$994)-O12</f>
        <v>2485.8777050000003</v>
      </c>
      <c r="AL3" s="30" t="s">
        <v>267</v>
      </c>
      <c r="AM3" s="28">
        <f>$AJ$3/$AJ$5</f>
        <v>80.18960338709678</v>
      </c>
      <c r="AO3" s="4" t="s">
        <v>126</v>
      </c>
      <c r="AP3" s="4">
        <f>COUNT(L2:L36)</f>
        <v>27</v>
      </c>
      <c r="AR3" s="29"/>
      <c r="AS3" s="29"/>
      <c r="AT3" s="29"/>
      <c r="AU3" s="29"/>
      <c r="AV3" s="29"/>
      <c r="AW3" s="29"/>
      <c r="AX3" s="29" t="s">
        <v>244</v>
      </c>
      <c r="AY3" s="29">
        <f>_xlfn.COUNTIFS($A$2:$A$44,"&lt;&gt;''",$AG$2:$AG$44,"=14")</f>
        <v>31</v>
      </c>
      <c r="AZ3" s="29"/>
      <c r="BB3" s="5"/>
      <c r="BC3" s="5"/>
    </row>
    <row r="4" spans="1:55" ht="14.25">
      <c r="A4" s="27">
        <v>42950</v>
      </c>
      <c r="B4" s="4">
        <f>6*2+40*2</f>
        <v>92</v>
      </c>
      <c r="C4" s="4">
        <f>B4*AD4</f>
        <v>17.378800000000002</v>
      </c>
      <c r="D4" s="4">
        <f>27+15</f>
        <v>42</v>
      </c>
      <c r="E4" s="4">
        <f>D4*AD4</f>
        <v>7.933800000000001</v>
      </c>
      <c r="G4" s="4">
        <f>F4*AD4</f>
        <v>0</v>
      </c>
      <c r="I4" s="4">
        <f>H4*AD4</f>
        <v>0</v>
      </c>
      <c r="K4" s="4">
        <f>J4*AD4</f>
        <v>0</v>
      </c>
      <c r="L4" s="4">
        <v>229</v>
      </c>
      <c r="M4" s="4">
        <f>L4*AD4</f>
        <v>43.258100000000006</v>
      </c>
      <c r="O4" s="4">
        <f>N4*AD4</f>
        <v>0</v>
      </c>
      <c r="Q4" s="4">
        <f>P4*AD4</f>
        <v>0</v>
      </c>
      <c r="Y4" s="4" t="s">
        <v>119</v>
      </c>
      <c r="AA4" s="4">
        <v>1</v>
      </c>
      <c r="AB4" s="4" t="s">
        <v>268</v>
      </c>
      <c r="AC4" s="4">
        <f>B4+D4+F4+H4+J4+L4+N4+P4</f>
        <v>363</v>
      </c>
      <c r="AD4" s="4">
        <v>0.1889</v>
      </c>
      <c r="AE4" s="24">
        <f>AC4*AD4</f>
        <v>68.5707</v>
      </c>
      <c r="AG4" s="4">
        <v>14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/>
      <c r="AW4" s="29"/>
      <c r="AX4" s="29" t="s">
        <v>246</v>
      </c>
      <c r="AY4" s="29">
        <f>AY2/AY3</f>
        <v>129.84592919354841</v>
      </c>
      <c r="AZ4" s="29"/>
      <c r="BB4" s="5"/>
      <c r="BC4" s="5"/>
    </row>
    <row r="5" spans="1:42" ht="14.25">
      <c r="A5" s="27">
        <v>42951</v>
      </c>
      <c r="B5" s="4">
        <f>10+90+80</f>
        <v>180</v>
      </c>
      <c r="C5" s="4">
        <f>B5*AD5</f>
        <v>34.002</v>
      </c>
      <c r="D5" s="4">
        <f>27.5+131.5+32</f>
        <v>191</v>
      </c>
      <c r="E5" s="4">
        <f>D5*AD5</f>
        <v>36.0799</v>
      </c>
      <c r="F5" s="4">
        <f>34</f>
        <v>34</v>
      </c>
      <c r="G5" s="4">
        <f>F5*AD5</f>
        <v>6.4226</v>
      </c>
      <c r="I5" s="4">
        <f>H5*AD5</f>
        <v>0</v>
      </c>
      <c r="K5" s="4">
        <f>J5*AD5</f>
        <v>0</v>
      </c>
      <c r="L5" s="4">
        <v>229</v>
      </c>
      <c r="M5" s="4">
        <f>L5*AD5</f>
        <v>43.258100000000006</v>
      </c>
      <c r="O5" s="4">
        <f>N5*AD5</f>
        <v>0</v>
      </c>
      <c r="Q5" s="4">
        <f>P5*AD5</f>
        <v>0</v>
      </c>
      <c r="Y5" s="4" t="s">
        <v>119</v>
      </c>
      <c r="AA5" s="4">
        <v>2</v>
      </c>
      <c r="AB5" s="4" t="s">
        <v>269</v>
      </c>
      <c r="AC5" s="4">
        <f>B5+D5+F5+H5+J5+L5+N5+P5</f>
        <v>634</v>
      </c>
      <c r="AD5" s="4">
        <v>0.1889</v>
      </c>
      <c r="AE5" s="24">
        <f>AC5*AD5</f>
        <v>119.7626</v>
      </c>
      <c r="AG5" s="4">
        <v>14</v>
      </c>
      <c r="AI5" s="4" t="s">
        <v>134</v>
      </c>
      <c r="AJ5" s="4">
        <f>COUNTA(A2:A349)</f>
        <v>31</v>
      </c>
      <c r="AO5" s="4" t="s">
        <v>135</v>
      </c>
      <c r="AP5" s="4">
        <f>COUNTA(R2:R49)</f>
        <v>0</v>
      </c>
    </row>
    <row r="6" spans="1:42" ht="14.25">
      <c r="A6" s="27">
        <v>42952</v>
      </c>
      <c r="C6" s="4">
        <f>B6*AD6</f>
        <v>0</v>
      </c>
      <c r="D6" s="4">
        <f>75</f>
        <v>75</v>
      </c>
      <c r="E6" s="4">
        <f>D6*AD6</f>
        <v>14.1675</v>
      </c>
      <c r="G6" s="4">
        <f>F6*AD6</f>
        <v>0</v>
      </c>
      <c r="I6" s="4">
        <f>H6*AD6</f>
        <v>0</v>
      </c>
      <c r="K6" s="4">
        <f>J6*AD6</f>
        <v>0</v>
      </c>
      <c r="L6" s="4">
        <v>200</v>
      </c>
      <c r="M6" s="4">
        <f>L6*AD6</f>
        <v>37.78</v>
      </c>
      <c r="O6" s="4">
        <f>N6*AD6</f>
        <v>0</v>
      </c>
      <c r="Q6" s="4">
        <f>P6*AD6</f>
        <v>0</v>
      </c>
      <c r="Y6" s="4" t="s">
        <v>119</v>
      </c>
      <c r="AB6" s="4" t="s">
        <v>265</v>
      </c>
      <c r="AC6" s="4">
        <f>B6+D6+F6+H6+J6+L6+N6+P6</f>
        <v>275</v>
      </c>
      <c r="AD6" s="4">
        <v>0.1889</v>
      </c>
      <c r="AE6" s="24">
        <f>AC6*AD6</f>
        <v>51.947500000000005</v>
      </c>
      <c r="AG6" s="4">
        <v>14</v>
      </c>
      <c r="AI6" s="30"/>
      <c r="AO6" s="4" t="s">
        <v>136</v>
      </c>
      <c r="AP6" s="4">
        <f>COUNTA(T2:T49)</f>
        <v>4</v>
      </c>
    </row>
    <row r="7" spans="1:42" ht="14.25">
      <c r="A7" s="27">
        <v>42953</v>
      </c>
      <c r="C7" s="4">
        <f>B7*AD7</f>
        <v>0</v>
      </c>
      <c r="D7" s="4">
        <v>275</v>
      </c>
      <c r="E7" s="4">
        <f>D7*AD7</f>
        <v>51.947500000000005</v>
      </c>
      <c r="F7" s="4">
        <v>100</v>
      </c>
      <c r="G7" s="4">
        <f>F7*AD7</f>
        <v>18.89</v>
      </c>
      <c r="I7" s="4">
        <f>H7*AD7</f>
        <v>0</v>
      </c>
      <c r="K7" s="4">
        <f>J7*AD7</f>
        <v>0</v>
      </c>
      <c r="L7" s="4">
        <v>200</v>
      </c>
      <c r="M7" s="4">
        <f>L7*AD7</f>
        <v>37.78</v>
      </c>
      <c r="O7" s="4">
        <f>N7*AD7</f>
        <v>0</v>
      </c>
      <c r="Q7" s="4">
        <f>P7*AD7</f>
        <v>0</v>
      </c>
      <c r="Y7" s="4" t="s">
        <v>119</v>
      </c>
      <c r="AB7" s="4" t="s">
        <v>265</v>
      </c>
      <c r="AC7" s="4">
        <f>B7+D7+F7+H7+J7+L7+N7+P7</f>
        <v>575</v>
      </c>
      <c r="AD7" s="4">
        <v>0.1889</v>
      </c>
      <c r="AE7" s="24">
        <f>AC7*AD7</f>
        <v>108.6175</v>
      </c>
      <c r="AG7" s="4">
        <v>14</v>
      </c>
      <c r="AL7" s="4" t="s">
        <v>138</v>
      </c>
      <c r="AO7" s="4" t="s">
        <v>109</v>
      </c>
      <c r="AP7" s="4">
        <f>COUNTA(U2:U49)</f>
        <v>0</v>
      </c>
    </row>
    <row r="8" spans="1:42" ht="14.25">
      <c r="A8" s="27">
        <v>42954</v>
      </c>
      <c r="C8" s="4">
        <f>B8*AD8</f>
        <v>0</v>
      </c>
      <c r="D8" s="4">
        <v>75</v>
      </c>
      <c r="E8" s="4">
        <f>D8*AD8</f>
        <v>14.1675</v>
      </c>
      <c r="G8" s="4">
        <f>F8*AD8</f>
        <v>0</v>
      </c>
      <c r="I8" s="4">
        <f>H8*AD8</f>
        <v>0</v>
      </c>
      <c r="K8" s="4">
        <f>J8*AD8</f>
        <v>0</v>
      </c>
      <c r="L8" s="4">
        <v>229</v>
      </c>
      <c r="M8" s="4">
        <f>L8*AD8</f>
        <v>43.258100000000006</v>
      </c>
      <c r="O8" s="4">
        <f>N8*AD8</f>
        <v>0</v>
      </c>
      <c r="Q8" s="4">
        <f>P8*AD8</f>
        <v>0</v>
      </c>
      <c r="Y8" s="4" t="s">
        <v>119</v>
      </c>
      <c r="AB8" s="4" t="s">
        <v>270</v>
      </c>
      <c r="AC8" s="4">
        <f>B8+D8+F8+H8+J8+L8+N8+P8</f>
        <v>304</v>
      </c>
      <c r="AD8" s="4">
        <v>0.1889</v>
      </c>
      <c r="AE8" s="24">
        <f>AC8*AD8</f>
        <v>57.4256</v>
      </c>
      <c r="AG8" s="4">
        <v>14</v>
      </c>
      <c r="AI8" s="4" t="s">
        <v>140</v>
      </c>
      <c r="AJ8" s="26">
        <f>SUM(M2:M994)</f>
        <v>1106.27823</v>
      </c>
      <c r="AL8" s="4" t="s">
        <v>103</v>
      </c>
      <c r="AM8" s="26">
        <f>AJ8/$AJ$5</f>
        <v>35.68639451612903</v>
      </c>
      <c r="AO8" s="4" t="s">
        <v>141</v>
      </c>
      <c r="AP8" s="4">
        <f>COUNTA(S2:S49)</f>
        <v>0</v>
      </c>
    </row>
    <row r="9" spans="1:42" ht="14.25">
      <c r="A9" s="27">
        <v>42955</v>
      </c>
      <c r="B9" s="1"/>
      <c r="C9" s="4">
        <f>B9*AD9</f>
        <v>0</v>
      </c>
      <c r="D9" s="4">
        <v>82</v>
      </c>
      <c r="E9" s="4">
        <f>D9*AD9</f>
        <v>15.4898</v>
      </c>
      <c r="G9" s="4">
        <f>F9*AD9</f>
        <v>0</v>
      </c>
      <c r="I9" s="4">
        <f>H9*AD9</f>
        <v>0</v>
      </c>
      <c r="K9" s="4">
        <f>J9*AD9</f>
        <v>0</v>
      </c>
      <c r="L9" s="4">
        <v>229</v>
      </c>
      <c r="M9" s="4">
        <f>L9*AD9</f>
        <v>43.258100000000006</v>
      </c>
      <c r="O9" s="4">
        <f>N9*AD9</f>
        <v>0</v>
      </c>
      <c r="Q9" s="4">
        <f>P9*AD9</f>
        <v>0</v>
      </c>
      <c r="Y9" s="4" t="s">
        <v>119</v>
      </c>
      <c r="AB9" s="4" t="s">
        <v>271</v>
      </c>
      <c r="AC9" s="4">
        <f>B9+D9+F9+H9+J9+L9+N9+P9</f>
        <v>311</v>
      </c>
      <c r="AD9" s="4">
        <v>0.1889</v>
      </c>
      <c r="AE9" s="24">
        <f>AC9*AD9</f>
        <v>58.7479</v>
      </c>
      <c r="AG9" s="4">
        <v>14</v>
      </c>
      <c r="AI9" s="4" t="s">
        <v>143</v>
      </c>
      <c r="AJ9" s="26">
        <f>SUM(C2:C994)</f>
        <v>294.3062</v>
      </c>
      <c r="AL9" s="4" t="s">
        <v>93</v>
      </c>
      <c r="AM9" s="4">
        <f>AJ9/$AJ$5</f>
        <v>9.493748387096774</v>
      </c>
      <c r="AO9" s="4" t="s">
        <v>110</v>
      </c>
      <c r="AP9" s="4">
        <f>COUNTA(V2:V50)</f>
        <v>0</v>
      </c>
    </row>
    <row r="10" spans="1:42" ht="14.25">
      <c r="A10" s="27">
        <v>42956</v>
      </c>
      <c r="C10" s="4">
        <f>B10*AD10</f>
        <v>0</v>
      </c>
      <c r="D10" s="4">
        <v>105</v>
      </c>
      <c r="E10" s="4">
        <f>D10*AD10</f>
        <v>19.834500000000002</v>
      </c>
      <c r="G10" s="4">
        <f>F10*AD10</f>
        <v>0</v>
      </c>
      <c r="I10" s="4">
        <f>H10*AD10</f>
        <v>0</v>
      </c>
      <c r="K10" s="4">
        <f>J10*AD10</f>
        <v>0</v>
      </c>
      <c r="L10" s="4">
        <v>229</v>
      </c>
      <c r="M10" s="4">
        <f>L10*AD10</f>
        <v>43.258100000000006</v>
      </c>
      <c r="O10" s="4">
        <f>N10*AD10</f>
        <v>0</v>
      </c>
      <c r="Q10" s="4">
        <f>P10*AD10</f>
        <v>0</v>
      </c>
      <c r="Y10" s="4" t="s">
        <v>119</v>
      </c>
      <c r="AB10" s="4" t="s">
        <v>271</v>
      </c>
      <c r="AC10" s="4">
        <f>B10+D10+F10+H10+J10+L10+N10+P10</f>
        <v>334</v>
      </c>
      <c r="AD10" s="4">
        <v>0.1889</v>
      </c>
      <c r="AE10" s="24">
        <f>AC10*AD10</f>
        <v>63.092600000000004</v>
      </c>
      <c r="AG10" s="4">
        <v>14</v>
      </c>
      <c r="AI10" s="4" t="s">
        <v>145</v>
      </c>
      <c r="AJ10" s="26">
        <f>SUM(E2:E994)</f>
        <v>721.4411749999999</v>
      </c>
      <c r="AL10" s="4" t="s">
        <v>250</v>
      </c>
      <c r="AM10" s="4">
        <f>AJ10/$AJ$5</f>
        <v>23.272295967741933</v>
      </c>
      <c r="AO10" s="4" t="s">
        <v>184</v>
      </c>
      <c r="AP10" s="4">
        <f>COUNTA(Y2:Y51)</f>
        <v>27</v>
      </c>
    </row>
    <row r="11" spans="1:39" ht="14.25">
      <c r="A11" s="27">
        <v>42957</v>
      </c>
      <c r="B11" s="4">
        <f>40*2+9*4</f>
        <v>116</v>
      </c>
      <c r="C11" s="4">
        <f>B11*AD11</f>
        <v>21.9124</v>
      </c>
      <c r="D11" s="4">
        <v>225</v>
      </c>
      <c r="E11" s="4">
        <f>D11*AD11</f>
        <v>42.502500000000005</v>
      </c>
      <c r="G11" s="4">
        <f>F11*AD11</f>
        <v>0</v>
      </c>
      <c r="I11" s="4">
        <f>H11*AD11</f>
        <v>0</v>
      </c>
      <c r="K11" s="4">
        <f>J11*AD11</f>
        <v>0</v>
      </c>
      <c r="L11" s="4">
        <v>200</v>
      </c>
      <c r="M11" s="4">
        <f>L11*AD11</f>
        <v>37.78</v>
      </c>
      <c r="O11" s="4">
        <f>N11*AD11</f>
        <v>0</v>
      </c>
      <c r="Q11" s="4">
        <f>P11*AD11</f>
        <v>0</v>
      </c>
      <c r="Y11" s="4" t="s">
        <v>119</v>
      </c>
      <c r="AB11" s="33" t="s">
        <v>272</v>
      </c>
      <c r="AC11" s="4">
        <f>B11+D11+F11+H11+J11+L11+N11+P11</f>
        <v>541</v>
      </c>
      <c r="AD11" s="4">
        <v>0.1889</v>
      </c>
      <c r="AE11" s="24">
        <f>AC11*AD11</f>
        <v>102.1949</v>
      </c>
      <c r="AG11" s="4">
        <v>14</v>
      </c>
      <c r="AI11" s="4" t="s">
        <v>149</v>
      </c>
      <c r="AJ11" s="26">
        <f>SUM(G2:G994)</f>
        <v>141.67499999999998</v>
      </c>
      <c r="AL11" s="4" t="s">
        <v>150</v>
      </c>
      <c r="AM11" s="26">
        <f>AJ11/$AJ$5</f>
        <v>4.57016129032258</v>
      </c>
    </row>
    <row r="12" spans="1:39" ht="14.25">
      <c r="A12" s="27">
        <v>42958</v>
      </c>
      <c r="B12" s="4">
        <f>9*4</f>
        <v>36</v>
      </c>
      <c r="C12" s="4">
        <f>B12*AD12</f>
        <v>6.800400000000001</v>
      </c>
      <c r="D12" s="4">
        <f>51+35</f>
        <v>86</v>
      </c>
      <c r="E12" s="4">
        <f>D12*AD12</f>
        <v>16.2454</v>
      </c>
      <c r="G12" s="4">
        <f>F12*AD12</f>
        <v>0</v>
      </c>
      <c r="I12" s="4">
        <f>H12*AD12</f>
        <v>0</v>
      </c>
      <c r="K12" s="4">
        <f>J12*AD12</f>
        <v>0</v>
      </c>
      <c r="L12" s="4">
        <v>200</v>
      </c>
      <c r="M12" s="4">
        <f>L12*AD12</f>
        <v>37.78</v>
      </c>
      <c r="N12" s="4">
        <v>8149</v>
      </c>
      <c r="O12" s="4">
        <f>N12*AD12</f>
        <v>1539.3461000000002</v>
      </c>
      <c r="Q12" s="4">
        <f>P12*AD12</f>
        <v>0</v>
      </c>
      <c r="Y12" s="4" t="s">
        <v>119</v>
      </c>
      <c r="AB12" s="33" t="s">
        <v>273</v>
      </c>
      <c r="AC12" s="4">
        <f>B12+D12+F12+H12+J12+L12+N12+P12</f>
        <v>8471</v>
      </c>
      <c r="AD12" s="4">
        <v>0.1889</v>
      </c>
      <c r="AE12" s="24">
        <f>AC12*AD12</f>
        <v>1600.1719</v>
      </c>
      <c r="AG12" s="4">
        <v>14</v>
      </c>
      <c r="AI12" s="4" t="s">
        <v>151</v>
      </c>
      <c r="AJ12" s="26">
        <f>SUM(K2:K994)</f>
        <v>28.503700000000002</v>
      </c>
      <c r="AL12" s="4" t="s">
        <v>101</v>
      </c>
      <c r="AM12" s="26">
        <f>AJ12/$AJ$5</f>
        <v>0.9194741935483871</v>
      </c>
    </row>
    <row r="13" spans="1:39" ht="14.25">
      <c r="A13" s="27">
        <v>42959</v>
      </c>
      <c r="B13" s="1">
        <f>12*4</f>
        <v>48</v>
      </c>
      <c r="C13" s="4">
        <f>B13*AD13</f>
        <v>9.0672</v>
      </c>
      <c r="D13" s="4">
        <f>103+37</f>
        <v>140</v>
      </c>
      <c r="E13" s="4">
        <f>D13*AD13</f>
        <v>26.446</v>
      </c>
      <c r="G13" s="4">
        <f>F13*AD13</f>
        <v>0</v>
      </c>
      <c r="I13" s="4">
        <f>H13*AD13</f>
        <v>0</v>
      </c>
      <c r="K13" s="4">
        <f>J13*AD13</f>
        <v>0</v>
      </c>
      <c r="L13" s="4">
        <v>200</v>
      </c>
      <c r="M13" s="4">
        <f>L13*AD13</f>
        <v>37.78</v>
      </c>
      <c r="O13" s="4">
        <f>N13*AD13</f>
        <v>0</v>
      </c>
      <c r="Q13" s="4">
        <f>P13*AD13</f>
        <v>0</v>
      </c>
      <c r="Y13" s="4" t="s">
        <v>119</v>
      </c>
      <c r="AB13" s="33" t="s">
        <v>273</v>
      </c>
      <c r="AC13" s="4">
        <f>B13+D13+F13+H13+J13+L13+N13+P13</f>
        <v>388</v>
      </c>
      <c r="AD13" s="4">
        <v>0.1889</v>
      </c>
      <c r="AE13" s="24">
        <f>AC13*AD13</f>
        <v>73.2932</v>
      </c>
      <c r="AG13" s="4">
        <v>14</v>
      </c>
      <c r="AI13" s="4" t="s">
        <v>153</v>
      </c>
      <c r="AJ13" s="4">
        <f>SUM(I2:I994)</f>
        <v>193.6734</v>
      </c>
      <c r="AL13" s="4" t="s">
        <v>99</v>
      </c>
      <c r="AM13" s="26">
        <f>AJ13/$AJ$5</f>
        <v>6.247529032258064</v>
      </c>
    </row>
    <row r="14" spans="1:36" ht="14.25">
      <c r="A14" s="27">
        <v>42960</v>
      </c>
      <c r="C14" s="4">
        <f>B14*AD14</f>
        <v>0</v>
      </c>
      <c r="D14" s="4">
        <f>17+53</f>
        <v>70</v>
      </c>
      <c r="E14" s="4">
        <f>D14*AD14</f>
        <v>13.223</v>
      </c>
      <c r="G14" s="4">
        <f>F14*AD14</f>
        <v>0</v>
      </c>
      <c r="I14" s="4">
        <f>H14*AD14</f>
        <v>0</v>
      </c>
      <c r="K14" s="4">
        <f>J14*AD14</f>
        <v>0</v>
      </c>
      <c r="L14" s="4">
        <v>200</v>
      </c>
      <c r="M14" s="4">
        <f>L14*AD14</f>
        <v>37.78</v>
      </c>
      <c r="O14" s="4">
        <f>N14*AD14</f>
        <v>0</v>
      </c>
      <c r="Q14" s="4">
        <f>P14*AD14</f>
        <v>0</v>
      </c>
      <c r="Y14" s="4" t="s">
        <v>119</v>
      </c>
      <c r="AB14" s="33" t="s">
        <v>273</v>
      </c>
      <c r="AC14" s="4">
        <f>B14+D14+F14+H14+J14+L14+N14+P14</f>
        <v>270</v>
      </c>
      <c r="AD14" s="4">
        <v>0.1889</v>
      </c>
      <c r="AE14" s="24">
        <f>AC14*AD14</f>
        <v>51.003</v>
      </c>
      <c r="AG14" s="4">
        <v>14</v>
      </c>
      <c r="AI14" s="4" t="s">
        <v>163</v>
      </c>
      <c r="AJ14" s="26">
        <f>SUM(O2:O994)</f>
        <v>1539.3461000000002</v>
      </c>
    </row>
    <row r="15" spans="1:36" ht="14.25">
      <c r="A15" s="27">
        <v>42961</v>
      </c>
      <c r="C15" s="4">
        <f>B15*AD15</f>
        <v>0</v>
      </c>
      <c r="D15" s="4">
        <f>126+60+5</f>
        <v>191</v>
      </c>
      <c r="E15" s="4">
        <f>D15*AD15</f>
        <v>36.0799</v>
      </c>
      <c r="G15" s="4">
        <f>F15*AD15</f>
        <v>0</v>
      </c>
      <c r="I15" s="4">
        <f>H15*AD15</f>
        <v>0</v>
      </c>
      <c r="K15" s="4">
        <f>J15*AD15</f>
        <v>0</v>
      </c>
      <c r="L15" s="4">
        <v>200</v>
      </c>
      <c r="M15" s="4">
        <f>L15*AD15</f>
        <v>37.78</v>
      </c>
      <c r="O15" s="4">
        <f>N15*AD15</f>
        <v>0</v>
      </c>
      <c r="Q15" s="4">
        <f>P15*AD15</f>
        <v>0</v>
      </c>
      <c r="Y15" s="4" t="s">
        <v>119</v>
      </c>
      <c r="AB15" s="33" t="s">
        <v>273</v>
      </c>
      <c r="AC15" s="4">
        <f>B15+D15+F15+H15+J15+L15+N15+P15</f>
        <v>391</v>
      </c>
      <c r="AD15" s="4">
        <v>0.1889</v>
      </c>
      <c r="AE15" s="24">
        <f>AC15*AD15</f>
        <v>73.85990000000001</v>
      </c>
      <c r="AG15" s="4">
        <v>14</v>
      </c>
      <c r="AI15" s="4" t="s">
        <v>194</v>
      </c>
      <c r="AJ15" s="4">
        <f>SUM(Q2:Q60)</f>
        <v>0</v>
      </c>
    </row>
    <row r="16" spans="1:35" ht="14.25">
      <c r="A16" s="2">
        <v>42962</v>
      </c>
      <c r="B16" s="4">
        <f>4*12</f>
        <v>48</v>
      </c>
      <c r="C16" s="4">
        <f>B16*AD16</f>
        <v>9.0672</v>
      </c>
      <c r="D16" s="4">
        <v>95</v>
      </c>
      <c r="E16" s="4">
        <f>D16*AD16</f>
        <v>17.945500000000003</v>
      </c>
      <c r="G16" s="4">
        <f>F16*AD16</f>
        <v>0</v>
      </c>
      <c r="I16" s="4">
        <f>H16*AD16</f>
        <v>0</v>
      </c>
      <c r="J16" s="4">
        <f>18</f>
        <v>18</v>
      </c>
      <c r="K16" s="4">
        <f>J16*AD16</f>
        <v>3.4002000000000003</v>
      </c>
      <c r="L16" s="4">
        <v>200</v>
      </c>
      <c r="M16" s="4">
        <f>L16*AD16</f>
        <v>37.78</v>
      </c>
      <c r="O16" s="4">
        <f>N16*AD16</f>
        <v>0</v>
      </c>
      <c r="Q16" s="4">
        <f>P16*AD16</f>
        <v>0</v>
      </c>
      <c r="Y16" s="4" t="s">
        <v>119</v>
      </c>
      <c r="AB16" s="33" t="s">
        <v>273</v>
      </c>
      <c r="AC16" s="4">
        <f>B16+D16+F16+H16+J16+L16+N16+P16</f>
        <v>361</v>
      </c>
      <c r="AD16" s="4">
        <v>0.1889</v>
      </c>
      <c r="AE16" s="24">
        <f>AC16*AD16</f>
        <v>68.19290000000001</v>
      </c>
      <c r="AG16" s="4">
        <v>14</v>
      </c>
      <c r="AI16" s="30"/>
    </row>
    <row r="17" spans="1:33" ht="14.25">
      <c r="A17" s="27">
        <v>42963</v>
      </c>
      <c r="B17" s="4">
        <v>48</v>
      </c>
      <c r="C17" s="4">
        <f>B17*AD17</f>
        <v>9.0672</v>
      </c>
      <c r="D17" s="4">
        <f>53+5+7.5</f>
        <v>65.5</v>
      </c>
      <c r="E17" s="4">
        <f>D17*AD17</f>
        <v>12.372950000000001</v>
      </c>
      <c r="G17" s="4">
        <f>F17*AD17</f>
        <v>0</v>
      </c>
      <c r="I17" s="4">
        <f>H17*AD17</f>
        <v>0</v>
      </c>
      <c r="K17" s="4">
        <f>J17*AD17</f>
        <v>0</v>
      </c>
      <c r="L17" s="4">
        <v>200</v>
      </c>
      <c r="M17" s="4">
        <f>L17*AD17</f>
        <v>37.78</v>
      </c>
      <c r="O17" s="4">
        <f>N17*AD17</f>
        <v>0</v>
      </c>
      <c r="Q17" s="4">
        <f>P17*AD17</f>
        <v>0</v>
      </c>
      <c r="Y17" s="4" t="s">
        <v>119</v>
      </c>
      <c r="AB17" s="33" t="s">
        <v>273</v>
      </c>
      <c r="AC17" s="4">
        <f>B17+D17+F17+H17+J17+L17+N17+P17</f>
        <v>313.5</v>
      </c>
      <c r="AD17" s="4">
        <v>0.1889</v>
      </c>
      <c r="AE17" s="24">
        <f>AC17*AD17</f>
        <v>59.220150000000004</v>
      </c>
      <c r="AG17" s="4">
        <v>14</v>
      </c>
    </row>
    <row r="18" spans="1:36" ht="14.25">
      <c r="A18" s="27">
        <v>42964</v>
      </c>
      <c r="B18" s="4">
        <f>12*6</f>
        <v>72</v>
      </c>
      <c r="C18" s="4">
        <f>B18*AD18</f>
        <v>13.600800000000001</v>
      </c>
      <c r="D18" s="4">
        <f>133</f>
        <v>133</v>
      </c>
      <c r="E18" s="4">
        <f>D18*AD18</f>
        <v>25.123700000000003</v>
      </c>
      <c r="G18" s="4">
        <f>F18*AD18</f>
        <v>0</v>
      </c>
      <c r="I18" s="4">
        <f>H18*AD18</f>
        <v>0</v>
      </c>
      <c r="K18" s="4">
        <f>J18*AD18</f>
        <v>0</v>
      </c>
      <c r="L18" s="4">
        <v>234</v>
      </c>
      <c r="M18" s="4">
        <f>L18*AD18</f>
        <v>44.202600000000004</v>
      </c>
      <c r="O18" s="4">
        <f>N18*AD18</f>
        <v>0</v>
      </c>
      <c r="Q18" s="4">
        <f>P18*AD18</f>
        <v>0</v>
      </c>
      <c r="Y18" s="4" t="s">
        <v>119</v>
      </c>
      <c r="AB18" s="33" t="s">
        <v>273</v>
      </c>
      <c r="AC18" s="4">
        <f>B18+D18+F18+H18+J18+L18+N18+P18</f>
        <v>439</v>
      </c>
      <c r="AD18" s="4">
        <v>0.1889</v>
      </c>
      <c r="AE18" s="24">
        <f>AC18*AD18</f>
        <v>82.92710000000001</v>
      </c>
      <c r="AG18" s="4">
        <v>14</v>
      </c>
      <c r="AI18" s="4" t="s">
        <v>256</v>
      </c>
      <c r="AJ18" s="4">
        <f>SUM(AA2:AA50)</f>
        <v>3</v>
      </c>
    </row>
    <row r="19" spans="1:33" ht="14.25">
      <c r="A19" s="27">
        <v>42965</v>
      </c>
      <c r="C19" s="4">
        <f>B19*AD19</f>
        <v>0</v>
      </c>
      <c r="D19" s="4">
        <f>102+8+15</f>
        <v>125</v>
      </c>
      <c r="E19" s="4">
        <f>D19*AD19</f>
        <v>23.6125</v>
      </c>
      <c r="F19" s="4">
        <f>106</f>
        <v>106</v>
      </c>
      <c r="G19" s="4">
        <f>F19*AD19</f>
        <v>20.023400000000002</v>
      </c>
      <c r="I19" s="4">
        <f>H19*AD19</f>
        <v>0</v>
      </c>
      <c r="K19" s="4">
        <f>J19*AD19</f>
        <v>0</v>
      </c>
      <c r="L19" s="4">
        <v>234</v>
      </c>
      <c r="M19" s="4">
        <f>L19*AD19</f>
        <v>44.202600000000004</v>
      </c>
      <c r="O19" s="4">
        <f>N19*AD19</f>
        <v>0</v>
      </c>
      <c r="Q19" s="4">
        <f>P19*AD19</f>
        <v>0</v>
      </c>
      <c r="Y19" s="4" t="s">
        <v>119</v>
      </c>
      <c r="AB19" s="33" t="s">
        <v>273</v>
      </c>
      <c r="AC19" s="4">
        <f>B19+D19+F19+H19+J19+L19+N19+P19</f>
        <v>465</v>
      </c>
      <c r="AD19" s="4">
        <v>0.1889</v>
      </c>
      <c r="AE19" s="24">
        <f>AC19*AD19</f>
        <v>87.83850000000001</v>
      </c>
      <c r="AG19" s="4">
        <v>14</v>
      </c>
    </row>
    <row r="20" spans="1:33" ht="14.25">
      <c r="A20" s="27">
        <v>42966</v>
      </c>
      <c r="B20" s="4">
        <f>40*2+25*2+25*2+34*2</f>
        <v>248</v>
      </c>
      <c r="C20" s="4">
        <f>B20*AD20</f>
        <v>46.8472</v>
      </c>
      <c r="D20" s="4">
        <f>61+8</f>
        <v>69</v>
      </c>
      <c r="E20" s="4">
        <f>D20*AD20</f>
        <v>13.0341</v>
      </c>
      <c r="G20" s="4">
        <f>F20*AD20</f>
        <v>0</v>
      </c>
      <c r="I20" s="4">
        <f>H20*AD20</f>
        <v>0</v>
      </c>
      <c r="K20" s="4">
        <f>J20*AD20</f>
        <v>0</v>
      </c>
      <c r="L20" s="4">
        <v>234</v>
      </c>
      <c r="M20" s="4">
        <f>L20*AD20</f>
        <v>44.202600000000004</v>
      </c>
      <c r="O20" s="4">
        <f>N20*AD20</f>
        <v>0</v>
      </c>
      <c r="Q20" s="4">
        <f>P20*AD20</f>
        <v>0</v>
      </c>
      <c r="Y20" s="4" t="s">
        <v>119</v>
      </c>
      <c r="AB20" s="33" t="s">
        <v>274</v>
      </c>
      <c r="AC20" s="4">
        <f>B20+D20+F20+H20+J20+L20+N20+P20</f>
        <v>551</v>
      </c>
      <c r="AD20" s="4">
        <v>0.1889</v>
      </c>
      <c r="AE20" s="24">
        <f>AC20*AD20</f>
        <v>104.0839</v>
      </c>
      <c r="AG20" s="4">
        <v>14</v>
      </c>
    </row>
    <row r="21" spans="1:33" ht="14.25">
      <c r="A21" s="2">
        <v>42967</v>
      </c>
      <c r="C21" s="4">
        <f>B21*AD21</f>
        <v>0</v>
      </c>
      <c r="D21" s="4">
        <f>175+8</f>
        <v>183</v>
      </c>
      <c r="E21" s="4">
        <f>D21*AD21</f>
        <v>34.5687</v>
      </c>
      <c r="F21" s="4">
        <v>106</v>
      </c>
      <c r="G21" s="4">
        <f>F21*AD21</f>
        <v>20.023400000000002</v>
      </c>
      <c r="I21" s="4">
        <f>H21*AD21</f>
        <v>0</v>
      </c>
      <c r="K21" s="4">
        <f>J21*AD21</f>
        <v>0</v>
      </c>
      <c r="L21" s="4">
        <v>234</v>
      </c>
      <c r="M21" s="4">
        <f>L21*AD21</f>
        <v>44.202600000000004</v>
      </c>
      <c r="O21" s="4">
        <f>N21*AD21</f>
        <v>0</v>
      </c>
      <c r="Q21" s="4">
        <f>P21*AD21</f>
        <v>0</v>
      </c>
      <c r="Y21" s="4" t="s">
        <v>119</v>
      </c>
      <c r="AB21" s="33" t="s">
        <v>273</v>
      </c>
      <c r="AC21" s="4">
        <f>B21+D21+F21+H21+J21+L21+N21+P21</f>
        <v>523</v>
      </c>
      <c r="AD21" s="4">
        <v>0.1889</v>
      </c>
      <c r="AE21" s="24">
        <f>AC21*AD21</f>
        <v>98.7947</v>
      </c>
      <c r="AG21" s="4">
        <v>14</v>
      </c>
    </row>
    <row r="22" spans="1:33" ht="14.25">
      <c r="A22" s="27">
        <v>42968</v>
      </c>
      <c r="B22" s="4">
        <f>12*4</f>
        <v>48</v>
      </c>
      <c r="C22" s="4">
        <f>B22*AD22</f>
        <v>9.0672</v>
      </c>
      <c r="D22" s="4">
        <v>58</v>
      </c>
      <c r="E22" s="4">
        <f>D22*AD22</f>
        <v>10.9562</v>
      </c>
      <c r="F22" s="4">
        <v>110</v>
      </c>
      <c r="G22" s="4">
        <f>F22*AD22</f>
        <v>20.779</v>
      </c>
      <c r="I22" s="4">
        <f>H22*AD22</f>
        <v>0</v>
      </c>
      <c r="K22" s="4">
        <f>J22*AD22</f>
        <v>0</v>
      </c>
      <c r="L22" s="4">
        <v>234</v>
      </c>
      <c r="M22" s="4">
        <f>L22*AD22</f>
        <v>44.202600000000004</v>
      </c>
      <c r="O22" s="4">
        <f>N22*AD22</f>
        <v>0</v>
      </c>
      <c r="Q22" s="4">
        <f>P22*AD22</f>
        <v>0</v>
      </c>
      <c r="Y22" s="4" t="s">
        <v>119</v>
      </c>
      <c r="AB22" s="33" t="s">
        <v>273</v>
      </c>
      <c r="AC22" s="4">
        <f>B22+D22+F22+H22+J22+L22+N22+P22</f>
        <v>450</v>
      </c>
      <c r="AD22" s="4">
        <v>0.1889</v>
      </c>
      <c r="AE22" s="24">
        <f>AC22*AD22</f>
        <v>85.00500000000001</v>
      </c>
      <c r="AG22" s="4">
        <v>14</v>
      </c>
    </row>
    <row r="23" spans="1:33" ht="14.25">
      <c r="A23" s="27">
        <v>42969</v>
      </c>
      <c r="B23" s="4">
        <f>24</f>
        <v>24</v>
      </c>
      <c r="C23" s="4">
        <f>B23*AD23</f>
        <v>4.5336</v>
      </c>
      <c r="D23" s="4">
        <f>54+155</f>
        <v>209</v>
      </c>
      <c r="E23" s="4">
        <f>D23*AD23</f>
        <v>39.4801</v>
      </c>
      <c r="G23" s="4">
        <f>F23*AD23</f>
        <v>0</v>
      </c>
      <c r="I23" s="4">
        <f>H23*AD23</f>
        <v>0</v>
      </c>
      <c r="K23" s="4">
        <f>J23*AD23</f>
        <v>0</v>
      </c>
      <c r="L23" s="4">
        <v>214</v>
      </c>
      <c r="M23" s="4">
        <f>L23*AD23</f>
        <v>40.424600000000005</v>
      </c>
      <c r="O23" s="4">
        <f>N23*AD23</f>
        <v>0</v>
      </c>
      <c r="Q23" s="4">
        <f>P23*AD23</f>
        <v>0</v>
      </c>
      <c r="Y23" s="4" t="s">
        <v>119</v>
      </c>
      <c r="AB23" s="33" t="s">
        <v>273</v>
      </c>
      <c r="AC23" s="4">
        <f>B23+D23+F23+H23+J23+L23+N23+P23</f>
        <v>447</v>
      </c>
      <c r="AD23" s="4">
        <v>0.1889</v>
      </c>
      <c r="AE23" s="24">
        <f>AC23*AD23</f>
        <v>84.43830000000001</v>
      </c>
      <c r="AG23" s="4">
        <v>14</v>
      </c>
    </row>
    <row r="24" spans="1:33" ht="14.25">
      <c r="A24" s="27">
        <v>42970</v>
      </c>
      <c r="C24" s="4">
        <f>B24*AD24</f>
        <v>0</v>
      </c>
      <c r="D24" s="4">
        <f>75+5</f>
        <v>80</v>
      </c>
      <c r="E24" s="4">
        <f>D24*AD24</f>
        <v>15.112000000000002</v>
      </c>
      <c r="G24" s="4">
        <f>F24*AD24</f>
        <v>0</v>
      </c>
      <c r="I24" s="4">
        <f>H24*AD24</f>
        <v>0</v>
      </c>
      <c r="K24" s="4">
        <f>J24*AD24</f>
        <v>0</v>
      </c>
      <c r="L24" s="4">
        <v>214</v>
      </c>
      <c r="M24" s="4">
        <f>L24*AD24</f>
        <v>40.424600000000005</v>
      </c>
      <c r="O24" s="4">
        <f>N24*AD24</f>
        <v>0</v>
      </c>
      <c r="Q24" s="4">
        <f>P24*AD24</f>
        <v>0</v>
      </c>
      <c r="Y24" s="4" t="s">
        <v>119</v>
      </c>
      <c r="AB24" s="33" t="s">
        <v>273</v>
      </c>
      <c r="AC24" s="4">
        <f>B24+D24+F24+H24+J24+L24+N24+P24</f>
        <v>294</v>
      </c>
      <c r="AD24" s="4">
        <v>0.1889</v>
      </c>
      <c r="AE24" s="24">
        <f>AC24*AD24</f>
        <v>55.53660000000001</v>
      </c>
      <c r="AG24" s="4">
        <v>14</v>
      </c>
    </row>
    <row r="25" spans="1:33" ht="14.25">
      <c r="A25" s="27">
        <v>42971</v>
      </c>
      <c r="C25" s="4">
        <f>B25*AD25</f>
        <v>0</v>
      </c>
      <c r="D25" s="4">
        <f>160+35</f>
        <v>195</v>
      </c>
      <c r="E25" s="4">
        <f>D25*AD25</f>
        <v>36.8355</v>
      </c>
      <c r="G25" s="4">
        <f>F25*AD25</f>
        <v>0</v>
      </c>
      <c r="I25" s="4">
        <f>H25*AD25</f>
        <v>0</v>
      </c>
      <c r="K25" s="4">
        <f>J25*AD25</f>
        <v>0</v>
      </c>
      <c r="L25" s="4">
        <v>214</v>
      </c>
      <c r="M25" s="4">
        <f>L25*AD25</f>
        <v>40.424600000000005</v>
      </c>
      <c r="O25" s="4">
        <f>N25*AD25</f>
        <v>0</v>
      </c>
      <c r="Q25" s="4">
        <f>P25*AD25</f>
        <v>0</v>
      </c>
      <c r="Y25" s="4" t="s">
        <v>119</v>
      </c>
      <c r="AB25" s="33" t="s">
        <v>273</v>
      </c>
      <c r="AC25" s="4">
        <f>B25+D25+F25+H25+J25+L25+N25+P25</f>
        <v>409</v>
      </c>
      <c r="AD25" s="4">
        <v>0.1889</v>
      </c>
      <c r="AE25" s="24">
        <f>AC25*AD25</f>
        <v>77.26010000000001</v>
      </c>
      <c r="AG25" s="4">
        <v>14</v>
      </c>
    </row>
    <row r="26" spans="1:33" ht="14.25">
      <c r="A26" s="27">
        <v>42972</v>
      </c>
      <c r="C26" s="4">
        <f>B26*AD26</f>
        <v>0</v>
      </c>
      <c r="D26" s="4">
        <f>137</f>
        <v>137</v>
      </c>
      <c r="E26" s="4">
        <f>D26*AD26</f>
        <v>25.8793</v>
      </c>
      <c r="G26" s="4">
        <f>F26*AD26</f>
        <v>0</v>
      </c>
      <c r="I26" s="4">
        <f>H26*AD26</f>
        <v>0</v>
      </c>
      <c r="K26" s="4">
        <f>J26*AD26</f>
        <v>0</v>
      </c>
      <c r="L26" s="4">
        <v>214</v>
      </c>
      <c r="M26" s="4">
        <f>L26*AD26</f>
        <v>40.424600000000005</v>
      </c>
      <c r="O26" s="4">
        <f>N26*AD26</f>
        <v>0</v>
      </c>
      <c r="Q26" s="4">
        <f>P26*AD26</f>
        <v>0</v>
      </c>
      <c r="Y26" s="4" t="s">
        <v>119</v>
      </c>
      <c r="AB26" s="4" t="s">
        <v>273</v>
      </c>
      <c r="AC26" s="4">
        <f>B26+D26+F26+H26+J26+L26+N26+P26</f>
        <v>351</v>
      </c>
      <c r="AD26" s="4">
        <v>0.1889</v>
      </c>
      <c r="AE26" s="24">
        <f>AC26*AD26</f>
        <v>66.3039</v>
      </c>
      <c r="AG26" s="4">
        <v>14</v>
      </c>
    </row>
    <row r="27" spans="1:33" ht="14.25">
      <c r="A27" s="27">
        <v>42973</v>
      </c>
      <c r="C27" s="4">
        <f>B27*AD27</f>
        <v>0</v>
      </c>
      <c r="D27" s="4">
        <v>77</v>
      </c>
      <c r="E27" s="4">
        <f>D27*AD27</f>
        <v>14.545300000000001</v>
      </c>
      <c r="G27" s="4">
        <f>F27*AD27</f>
        <v>0</v>
      </c>
      <c r="H27" s="4">
        <v>50</v>
      </c>
      <c r="I27" s="4">
        <f>H27*AD27</f>
        <v>9.445</v>
      </c>
      <c r="K27" s="4">
        <f>J27*AD27</f>
        <v>0</v>
      </c>
      <c r="L27" s="4">
        <v>214</v>
      </c>
      <c r="M27" s="4">
        <f>L27*AD27</f>
        <v>40.424600000000005</v>
      </c>
      <c r="O27" s="4">
        <f>N27*AD27</f>
        <v>0</v>
      </c>
      <c r="Q27" s="4">
        <f>P27*AD27</f>
        <v>0</v>
      </c>
      <c r="Y27" s="4" t="s">
        <v>119</v>
      </c>
      <c r="AB27" s="4" t="s">
        <v>275</v>
      </c>
      <c r="AC27" s="4">
        <f>B27+D27+F27+H27+J27+L27+N27+P27</f>
        <v>341</v>
      </c>
      <c r="AD27" s="4">
        <v>0.1889</v>
      </c>
      <c r="AE27" s="24">
        <f>AC27*AD27</f>
        <v>64.4149</v>
      </c>
      <c r="AG27" s="4">
        <v>14</v>
      </c>
    </row>
    <row r="28" spans="1:33" ht="14.25">
      <c r="A28" s="27"/>
      <c r="C28" s="4">
        <f>B28*AD28</f>
        <v>0</v>
      </c>
      <c r="E28" s="4">
        <f>D28*AD28</f>
        <v>0</v>
      </c>
      <c r="G28" s="4">
        <f>F28*AD28</f>
        <v>0</v>
      </c>
      <c r="H28" s="4">
        <v>24</v>
      </c>
      <c r="I28" s="4">
        <f>H28*AD28</f>
        <v>79.19999999999999</v>
      </c>
      <c r="K28" s="4">
        <f>J28*AD28</f>
        <v>0</v>
      </c>
      <c r="M28" s="4">
        <f>L28*AD28</f>
        <v>0</v>
      </c>
      <c r="O28" s="4">
        <f>N28*AD28</f>
        <v>0</v>
      </c>
      <c r="Q28" s="4">
        <f>P28*AD28</f>
        <v>0</v>
      </c>
      <c r="AC28" s="4">
        <f>B28+D28+F28+H28+J28+L28+N28+P28</f>
        <v>24</v>
      </c>
      <c r="AD28" s="4">
        <v>3.3</v>
      </c>
      <c r="AE28" s="24">
        <f>AC28*AD28</f>
        <v>79.19999999999999</v>
      </c>
      <c r="AG28" s="4">
        <v>14</v>
      </c>
    </row>
    <row r="29" spans="1:33" ht="14.25">
      <c r="A29" s="27">
        <v>42974</v>
      </c>
      <c r="C29" s="4">
        <f>B29*AD29</f>
        <v>0</v>
      </c>
      <c r="D29" s="4">
        <f>57+78</f>
        <v>135</v>
      </c>
      <c r="E29" s="4">
        <f>D29*AD29</f>
        <v>25.5015</v>
      </c>
      <c r="G29" s="4">
        <f>F29*AD29</f>
        <v>0</v>
      </c>
      <c r="I29" s="4">
        <f>H29*AD29</f>
        <v>0</v>
      </c>
      <c r="K29" s="4">
        <f>J29*AD29</f>
        <v>0</v>
      </c>
      <c r="L29" s="4">
        <v>214</v>
      </c>
      <c r="M29" s="4">
        <f>L29*AD29</f>
        <v>40.424600000000005</v>
      </c>
      <c r="O29" s="4">
        <f>N29*AD29</f>
        <v>0</v>
      </c>
      <c r="Q29" s="4">
        <f>P29*AD29</f>
        <v>0</v>
      </c>
      <c r="Y29" s="4" t="s">
        <v>119</v>
      </c>
      <c r="AB29" s="4" t="s">
        <v>273</v>
      </c>
      <c r="AC29" s="4">
        <f>B29+D29+F29+H29+J29+L29+N29+P29</f>
        <v>349</v>
      </c>
      <c r="AD29" s="4">
        <v>0.1889</v>
      </c>
      <c r="AE29" s="24">
        <f>AC29*AD29</f>
        <v>65.9261</v>
      </c>
      <c r="AG29" s="4">
        <v>14</v>
      </c>
    </row>
    <row r="30" spans="1:33" ht="14.25">
      <c r="A30" s="27">
        <v>42975</v>
      </c>
      <c r="B30" s="4">
        <f>117*2</f>
        <v>234</v>
      </c>
      <c r="C30" s="4">
        <f>B30*AD30</f>
        <v>44.202600000000004</v>
      </c>
      <c r="D30" s="4">
        <f>96</f>
        <v>96</v>
      </c>
      <c r="E30" s="4">
        <f>D30*AD30</f>
        <v>18.1344</v>
      </c>
      <c r="F30" s="4">
        <v>58</v>
      </c>
      <c r="G30" s="4">
        <f>F30*AD30</f>
        <v>10.9562</v>
      </c>
      <c r="I30" s="4">
        <f>H30*AD30</f>
        <v>0</v>
      </c>
      <c r="K30" s="4">
        <f>J30*AD30</f>
        <v>0</v>
      </c>
      <c r="M30" s="4">
        <f>L30*AD30</f>
        <v>0</v>
      </c>
      <c r="O30" s="4">
        <f>N30*AD30</f>
        <v>0</v>
      </c>
      <c r="Q30" s="4">
        <f>P30*AD30</f>
        <v>0</v>
      </c>
      <c r="T30" s="4" t="s">
        <v>119</v>
      </c>
      <c r="AB30" s="4" t="s">
        <v>276</v>
      </c>
      <c r="AC30" s="4">
        <f>B30+D30+F30+H30+J30+L30+N30+P30</f>
        <v>388</v>
      </c>
      <c r="AD30" s="4">
        <v>0.1889</v>
      </c>
      <c r="AE30" s="24">
        <f>AC30*AD30</f>
        <v>73.2932</v>
      </c>
      <c r="AG30" s="4">
        <v>14</v>
      </c>
    </row>
    <row r="31" spans="1:33" ht="14.25">
      <c r="A31" s="27">
        <v>42976</v>
      </c>
      <c r="B31" s="4">
        <f>35*2+31*2</f>
        <v>132</v>
      </c>
      <c r="C31" s="4">
        <f>B31*AD31</f>
        <v>24.934800000000003</v>
      </c>
      <c r="D31" s="4">
        <v>117</v>
      </c>
      <c r="E31" s="4">
        <f>D31*AD31</f>
        <v>22.101300000000002</v>
      </c>
      <c r="F31" s="4">
        <v>58</v>
      </c>
      <c r="G31" s="4">
        <f>F31*AD31</f>
        <v>10.9562</v>
      </c>
      <c r="H31" s="4">
        <f>248*2</f>
        <v>496</v>
      </c>
      <c r="I31" s="4">
        <f>H31*AD31</f>
        <v>93.6944</v>
      </c>
      <c r="K31" s="4">
        <f>J31*AD31</f>
        <v>0</v>
      </c>
      <c r="M31" s="4">
        <f>L31*AD31</f>
        <v>0</v>
      </c>
      <c r="O31" s="4">
        <f>N31*AD31</f>
        <v>0</v>
      </c>
      <c r="Q31" s="4">
        <f>P31*AD31</f>
        <v>0</v>
      </c>
      <c r="T31" s="4" t="s">
        <v>119</v>
      </c>
      <c r="AB31" s="4" t="s">
        <v>277</v>
      </c>
      <c r="AC31" s="4">
        <f>B31+D31+F31+H31+J31+L31+N31+P31</f>
        <v>803</v>
      </c>
      <c r="AD31" s="4">
        <v>0.1889</v>
      </c>
      <c r="AE31" s="24">
        <f>AC31*AD31</f>
        <v>151.6867</v>
      </c>
      <c r="AG31" s="4">
        <v>14</v>
      </c>
    </row>
    <row r="32" spans="1:33" ht="14.25">
      <c r="A32" s="27">
        <v>42977</v>
      </c>
      <c r="C32" s="4">
        <f>B32*AD32</f>
        <v>0</v>
      </c>
      <c r="D32" s="4">
        <v>65</v>
      </c>
      <c r="E32" s="4">
        <f>D32*AD32</f>
        <v>12.278500000000001</v>
      </c>
      <c r="F32" s="4">
        <v>58</v>
      </c>
      <c r="G32" s="4">
        <f>F32*AD32</f>
        <v>10.9562</v>
      </c>
      <c r="H32" s="4">
        <f>30*2</f>
        <v>60</v>
      </c>
      <c r="I32" s="4">
        <f>H32*AD32</f>
        <v>11.334000000000001</v>
      </c>
      <c r="J32" s="4">
        <v>30</v>
      </c>
      <c r="K32" s="4">
        <f>J32*AD32</f>
        <v>5.667000000000001</v>
      </c>
      <c r="M32" s="4">
        <f>L32*AD32</f>
        <v>0</v>
      </c>
      <c r="O32" s="4">
        <f>N32*AD32</f>
        <v>0</v>
      </c>
      <c r="Q32" s="4">
        <f>P32*AD32</f>
        <v>0</v>
      </c>
      <c r="T32" s="4" t="s">
        <v>119</v>
      </c>
      <c r="AB32" s="4" t="s">
        <v>277</v>
      </c>
      <c r="AC32" s="4">
        <f>B32+D32+F32+H32+J32+L32+N32+P32</f>
        <v>213</v>
      </c>
      <c r="AD32" s="4">
        <v>0.1889</v>
      </c>
      <c r="AE32" s="24">
        <f>AC32*AD32</f>
        <v>40.2357</v>
      </c>
      <c r="AG32" s="4">
        <v>14</v>
      </c>
    </row>
    <row r="33" spans="1:33" ht="14.25">
      <c r="A33" s="25">
        <v>42978</v>
      </c>
      <c r="B33" s="4">
        <f>116*2</f>
        <v>232</v>
      </c>
      <c r="C33" s="4">
        <f>B33*AD33</f>
        <v>43.8248</v>
      </c>
      <c r="D33" s="4">
        <v>103</v>
      </c>
      <c r="E33" s="4">
        <f>D33*AD33</f>
        <v>19.4567</v>
      </c>
      <c r="F33" s="4">
        <f>120</f>
        <v>120</v>
      </c>
      <c r="G33" s="4">
        <f>F33*AD33</f>
        <v>22.668000000000003</v>
      </c>
      <c r="I33" s="4">
        <f>H33*AD33</f>
        <v>0</v>
      </c>
      <c r="K33" s="4">
        <f>J33*AD33</f>
        <v>0</v>
      </c>
      <c r="M33" s="4">
        <f>L33*AD33</f>
        <v>0</v>
      </c>
      <c r="O33" s="4">
        <f>N33*AD33</f>
        <v>0</v>
      </c>
      <c r="Q33" s="4">
        <f>P33*AD33</f>
        <v>0</v>
      </c>
      <c r="T33" s="4" t="s">
        <v>119</v>
      </c>
      <c r="AB33" s="4" t="s">
        <v>278</v>
      </c>
      <c r="AC33" s="4">
        <f>B33+D33+F33+H33+J33+L33+N33+P33</f>
        <v>455</v>
      </c>
      <c r="AD33" s="4">
        <v>0.1889</v>
      </c>
      <c r="AE33" s="24">
        <f>AC33*AD33</f>
        <v>85.9495</v>
      </c>
      <c r="AG33" s="4">
        <v>14</v>
      </c>
    </row>
    <row r="34" spans="1:33" ht="14.2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v>0.1889</v>
      </c>
      <c r="AE34" s="24">
        <f>AC34*AD34</f>
        <v>0</v>
      </c>
      <c r="AG34" s="4">
        <v>14</v>
      </c>
    </row>
    <row r="35" spans="3:31" ht="14.2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f>(693.63/600000)</f>
        <v>0.00115605</v>
      </c>
      <c r="AE35" s="24">
        <f>AC35*AD35</f>
        <v>0</v>
      </c>
    </row>
    <row r="36" spans="3:31" ht="12.7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f>(693.63/600000)</f>
        <v>0.00115605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f>(693.63/600000)</f>
        <v>0.00115605</v>
      </c>
      <c r="AE37" s="24">
        <f>AC37*AD37</f>
        <v>0</v>
      </c>
    </row>
    <row r="38" spans="3:31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0.1889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M1">
      <selection activeCell="O15" sqref="O15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4.625" style="4" customWidth="1"/>
    <col min="48" max="48" width="7.375" style="4" customWidth="1"/>
    <col min="49" max="49" width="10.625" style="4" customWidth="1"/>
    <col min="50" max="50" width="11.87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42979</v>
      </c>
      <c r="C2" s="4">
        <f>B2*AD2</f>
        <v>0</v>
      </c>
      <c r="D2" s="4">
        <f>82</f>
        <v>82</v>
      </c>
      <c r="E2" s="4">
        <f>D2*AD2</f>
        <v>15.4898</v>
      </c>
      <c r="F2" s="4">
        <v>60</v>
      </c>
      <c r="G2" s="4">
        <f>F2*AD2</f>
        <v>11.334000000000001</v>
      </c>
      <c r="I2" s="4">
        <f>H2*AD2</f>
        <v>0</v>
      </c>
      <c r="K2" s="4">
        <f>J2*AD2</f>
        <v>0</v>
      </c>
      <c r="M2" s="4">
        <f>L2*AD2</f>
        <v>0</v>
      </c>
      <c r="O2" s="4">
        <f>N2*AD2</f>
        <v>0</v>
      </c>
      <c r="Q2" s="4">
        <f>P2*AD2</f>
        <v>0</v>
      </c>
      <c r="T2" s="4" t="s">
        <v>119</v>
      </c>
      <c r="AB2" s="4" t="s">
        <v>279</v>
      </c>
      <c r="AC2" s="4">
        <f>B2+D2+F2+H2+J2+L2+N2+P2</f>
        <v>142</v>
      </c>
      <c r="AD2" s="4">
        <v>0.1889</v>
      </c>
      <c r="AE2" s="24">
        <f>AC2*AD2</f>
        <v>26.823800000000002</v>
      </c>
      <c r="AG2" s="4">
        <v>14</v>
      </c>
      <c r="AI2" s="4" t="s">
        <v>121</v>
      </c>
      <c r="AJ2" s="4">
        <f>SUM($AE$2:$AE$994)</f>
        <v>2012.4583357677907</v>
      </c>
      <c r="AL2" s="4" t="s">
        <v>122</v>
      </c>
      <c r="AM2" s="28">
        <f>$AJ$2/$AJ$5</f>
        <v>67.08194452559302</v>
      </c>
      <c r="AO2" s="4" t="s">
        <v>123</v>
      </c>
      <c r="AP2" s="4">
        <f>COUNTBLANK(L2:L40)-COUNTBLANK(A2:A40)</f>
        <v>13</v>
      </c>
      <c r="AQ2" s="29"/>
      <c r="AR2" s="29"/>
      <c r="AS2" s="29"/>
      <c r="AT2" s="29"/>
      <c r="AU2" s="29"/>
      <c r="AV2" s="29"/>
      <c r="AW2" s="29"/>
      <c r="AX2" s="29" t="s">
        <v>243</v>
      </c>
      <c r="AY2" s="29">
        <f>SUMIF($AG$2:$AG$44,"=14",$AE$2:$AE$44)</f>
        <v>2012.4583357677907</v>
      </c>
      <c r="AZ2" s="29"/>
      <c r="BB2" s="5"/>
      <c r="BC2" s="5"/>
    </row>
    <row r="3" spans="1:55" ht="14.25">
      <c r="A3" s="27">
        <v>42980</v>
      </c>
      <c r="B3" s="4">
        <f>28*4</f>
        <v>112</v>
      </c>
      <c r="C3" s="4">
        <f>B3*AD3</f>
        <v>21.1568</v>
      </c>
      <c r="D3" s="4">
        <v>77</v>
      </c>
      <c r="E3" s="4">
        <f>D3*AD3</f>
        <v>14.545300000000001</v>
      </c>
      <c r="F3" s="4">
        <f>145</f>
        <v>145</v>
      </c>
      <c r="G3" s="4">
        <f>F3*AD3</f>
        <v>27.390500000000003</v>
      </c>
      <c r="H3" s="4">
        <v>10</v>
      </c>
      <c r="I3" s="4">
        <f>H3*AD3</f>
        <v>1.8890000000000002</v>
      </c>
      <c r="J3" s="4">
        <v>8</v>
      </c>
      <c r="K3" s="4">
        <f>J3*AD3</f>
        <v>1.5112</v>
      </c>
      <c r="M3" s="4">
        <f>L3*AD3</f>
        <v>0</v>
      </c>
      <c r="O3" s="4">
        <f>N3*AD3</f>
        <v>0</v>
      </c>
      <c r="Q3" s="4">
        <f>P3*AD3</f>
        <v>0</v>
      </c>
      <c r="T3" s="4" t="s">
        <v>119</v>
      </c>
      <c r="AB3" s="4" t="s">
        <v>280</v>
      </c>
      <c r="AC3" s="4">
        <f>B3+D3+F3+H3+J3+L3+N3+P3</f>
        <v>352</v>
      </c>
      <c r="AD3" s="4">
        <v>0.1889</v>
      </c>
      <c r="AE3" s="24">
        <f>AC3*AD3</f>
        <v>66.4928</v>
      </c>
      <c r="AG3" s="4">
        <v>14</v>
      </c>
      <c r="AI3" s="30"/>
      <c r="AL3" s="30"/>
      <c r="AM3" s="28"/>
      <c r="AO3" s="4" t="s">
        <v>126</v>
      </c>
      <c r="AP3" s="4">
        <f>COUNT(L2:L36)</f>
        <v>17</v>
      </c>
      <c r="AR3" s="29"/>
      <c r="AS3" s="29"/>
      <c r="AT3" s="29"/>
      <c r="AU3" s="29"/>
      <c r="AV3" s="29"/>
      <c r="AW3" s="29"/>
      <c r="AX3" s="29" t="s">
        <v>244</v>
      </c>
      <c r="AY3" s="29">
        <f>_xlfn.COUNTIFS($A$2:$A$44,"&lt;&gt;''",$AG$2:$AG$44,"=14")</f>
        <v>30</v>
      </c>
      <c r="AZ3" s="29"/>
      <c r="BB3" s="5"/>
      <c r="BC3" s="5"/>
    </row>
    <row r="4" spans="1:55" ht="14.25">
      <c r="A4" s="27">
        <v>42981</v>
      </c>
      <c r="C4" s="4">
        <f>B4*AD4</f>
        <v>0</v>
      </c>
      <c r="D4" s="4">
        <f>130</f>
        <v>130</v>
      </c>
      <c r="E4" s="4">
        <f>D4*AD4</f>
        <v>24.557000000000002</v>
      </c>
      <c r="G4" s="4">
        <f>F4*AD4</f>
        <v>0</v>
      </c>
      <c r="I4" s="4">
        <f>H4*AD4</f>
        <v>0</v>
      </c>
      <c r="K4" s="4">
        <f>J4*AD4</f>
        <v>0</v>
      </c>
      <c r="L4" s="4">
        <v>250</v>
      </c>
      <c r="M4" s="4">
        <f>L4*AD4</f>
        <v>47.225</v>
      </c>
      <c r="O4" s="4">
        <f>N4*AD4</f>
        <v>0</v>
      </c>
      <c r="Q4" s="4">
        <f>P4*AD4</f>
        <v>0</v>
      </c>
      <c r="Y4" s="4" t="s">
        <v>119</v>
      </c>
      <c r="AB4" s="4" t="s">
        <v>279</v>
      </c>
      <c r="AC4" s="4">
        <f>B4+D4+F4+H4+J4+L4+N4+P4</f>
        <v>380</v>
      </c>
      <c r="AD4" s="4">
        <v>0.1889</v>
      </c>
      <c r="AE4" s="24">
        <f>AC4*AD4</f>
        <v>71.78200000000001</v>
      </c>
      <c r="AG4" s="4">
        <v>14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/>
      <c r="AW4" s="29"/>
      <c r="AX4" s="29" t="s">
        <v>246</v>
      </c>
      <c r="AY4" s="29">
        <f>AY2/AY3</f>
        <v>67.08194452559302</v>
      </c>
      <c r="AZ4" s="29"/>
      <c r="BB4" s="5"/>
      <c r="BC4" s="5"/>
    </row>
    <row r="5" spans="1:42" ht="14.25">
      <c r="A5" s="27">
        <v>42982</v>
      </c>
      <c r="C5" s="4">
        <f>B5*AD5</f>
        <v>0</v>
      </c>
      <c r="D5" s="4">
        <v>108.5</v>
      </c>
      <c r="E5" s="4">
        <f>D5*AD5</f>
        <v>20.49565</v>
      </c>
      <c r="G5" s="4">
        <f>F5*AD5</f>
        <v>0</v>
      </c>
      <c r="I5" s="4">
        <f>H5*AD5</f>
        <v>0</v>
      </c>
      <c r="J5" s="4">
        <v>93.5</v>
      </c>
      <c r="K5" s="4">
        <f>J5*AD5</f>
        <v>17.66215</v>
      </c>
      <c r="L5" s="4">
        <v>250</v>
      </c>
      <c r="M5" s="4">
        <f>L5*AD5</f>
        <v>47.225</v>
      </c>
      <c r="O5" s="4">
        <f>N5*AD5</f>
        <v>0</v>
      </c>
      <c r="Q5" s="4">
        <f>P5*AD5</f>
        <v>0</v>
      </c>
      <c r="Y5" s="4" t="s">
        <v>119</v>
      </c>
      <c r="AB5" s="4" t="s">
        <v>279</v>
      </c>
      <c r="AC5" s="4">
        <f>B5+D5+F5+H5+J5+L5+N5+P5</f>
        <v>452</v>
      </c>
      <c r="AD5" s="4">
        <v>0.1889</v>
      </c>
      <c r="AE5" s="24">
        <f>AC5*AD5</f>
        <v>85.3828</v>
      </c>
      <c r="AG5" s="4">
        <v>14</v>
      </c>
      <c r="AI5" s="4" t="s">
        <v>134</v>
      </c>
      <c r="AJ5" s="4">
        <f>COUNTA(A2:A349)</f>
        <v>30</v>
      </c>
      <c r="AO5" s="4" t="s">
        <v>135</v>
      </c>
      <c r="AP5" s="4">
        <f>COUNTA(R2:R49)</f>
        <v>0</v>
      </c>
    </row>
    <row r="6" spans="1:42" ht="14.25">
      <c r="A6" s="27">
        <v>42983</v>
      </c>
      <c r="C6" s="4">
        <f>B6*AD6</f>
        <v>0</v>
      </c>
      <c r="D6" s="4">
        <v>122</v>
      </c>
      <c r="E6" s="4">
        <f>D6*AD6</f>
        <v>23.0458</v>
      </c>
      <c r="G6" s="4">
        <f>F6*AD6</f>
        <v>0</v>
      </c>
      <c r="I6" s="4">
        <f>H6*AD6</f>
        <v>0</v>
      </c>
      <c r="K6" s="4">
        <f>J6*AD6</f>
        <v>0</v>
      </c>
      <c r="L6" s="4">
        <v>282</v>
      </c>
      <c r="M6" s="4">
        <f>L6*AD6</f>
        <v>53.269800000000004</v>
      </c>
      <c r="O6" s="4">
        <f>N6*AD6</f>
        <v>0</v>
      </c>
      <c r="Q6" s="4">
        <f>P6*AD6</f>
        <v>0</v>
      </c>
      <c r="Y6" s="4" t="s">
        <v>119</v>
      </c>
      <c r="AB6" s="4" t="s">
        <v>279</v>
      </c>
      <c r="AC6" s="4">
        <f>B6+D6+F6+H6+J6+L6+N6+P6</f>
        <v>404</v>
      </c>
      <c r="AD6" s="4">
        <v>0.1889</v>
      </c>
      <c r="AE6" s="24">
        <f>AC6*AD6</f>
        <v>76.3156</v>
      </c>
      <c r="AG6" s="4">
        <v>14</v>
      </c>
      <c r="AI6" s="30"/>
      <c r="AO6" s="4" t="s">
        <v>136</v>
      </c>
      <c r="AP6" s="4">
        <f>COUNTA(T2:T49)</f>
        <v>7</v>
      </c>
    </row>
    <row r="7" spans="1:42" ht="14.25">
      <c r="A7" s="27">
        <v>42984</v>
      </c>
      <c r="C7" s="4">
        <f>B7*AD7</f>
        <v>0</v>
      </c>
      <c r="D7" s="4">
        <f>78.5</f>
        <v>78.5</v>
      </c>
      <c r="E7" s="4">
        <f>D7*AD7</f>
        <v>14.828650000000001</v>
      </c>
      <c r="G7" s="4">
        <f>F7*AD7</f>
        <v>0</v>
      </c>
      <c r="I7" s="4">
        <f>H7*AD7</f>
        <v>0</v>
      </c>
      <c r="K7" s="4">
        <f>J7*AD7</f>
        <v>0</v>
      </c>
      <c r="L7" s="4">
        <v>282</v>
      </c>
      <c r="M7" s="4">
        <f>L7*AD7</f>
        <v>53.269800000000004</v>
      </c>
      <c r="O7" s="4">
        <f>N7*AD7</f>
        <v>0</v>
      </c>
      <c r="Q7" s="4">
        <f>P7*AD7</f>
        <v>0</v>
      </c>
      <c r="Y7" s="4" t="s">
        <v>119</v>
      </c>
      <c r="AB7" s="4" t="s">
        <v>279</v>
      </c>
      <c r="AC7" s="4">
        <f>B7+D7+F7+H7+J7+L7+N7+P7</f>
        <v>360.5</v>
      </c>
      <c r="AD7" s="4">
        <v>0.1889</v>
      </c>
      <c r="AE7" s="24">
        <f>AC7*AD7</f>
        <v>68.09845</v>
      </c>
      <c r="AG7" s="4">
        <v>14</v>
      </c>
      <c r="AL7" s="4" t="s">
        <v>138</v>
      </c>
      <c r="AO7" s="4" t="s">
        <v>109</v>
      </c>
      <c r="AP7" s="4">
        <f>COUNTA(U2:U49)</f>
        <v>11</v>
      </c>
    </row>
    <row r="8" spans="1:42" ht="14.25">
      <c r="A8" s="27">
        <v>42985</v>
      </c>
      <c r="C8" s="4">
        <f>B8*AD8</f>
        <v>0</v>
      </c>
      <c r="D8" s="4">
        <f>110+18</f>
        <v>128</v>
      </c>
      <c r="E8" s="4">
        <f>D8*AD8</f>
        <v>24.1792</v>
      </c>
      <c r="G8" s="4">
        <f>F8*AD8</f>
        <v>0</v>
      </c>
      <c r="I8" s="4">
        <f>H8*AD8</f>
        <v>0</v>
      </c>
      <c r="J8" s="4">
        <v>25</v>
      </c>
      <c r="K8" s="4">
        <f>J8*AD8</f>
        <v>4.7225</v>
      </c>
      <c r="L8" s="4">
        <v>282</v>
      </c>
      <c r="M8" s="4">
        <f>L8*AD8</f>
        <v>53.269800000000004</v>
      </c>
      <c r="O8" s="4">
        <f>N8*AD8</f>
        <v>0</v>
      </c>
      <c r="Q8" s="4">
        <f>P8*AD8</f>
        <v>0</v>
      </c>
      <c r="Y8" s="4" t="s">
        <v>119</v>
      </c>
      <c r="AB8" s="4" t="s">
        <v>279</v>
      </c>
      <c r="AC8" s="4">
        <f>B8+D8+F8+H8+J8+L8+N8+P8</f>
        <v>435</v>
      </c>
      <c r="AD8" s="4">
        <v>0.1889</v>
      </c>
      <c r="AE8" s="24">
        <f>AC8*AD8</f>
        <v>82.17150000000001</v>
      </c>
      <c r="AG8" s="4">
        <v>14</v>
      </c>
      <c r="AI8" s="4" t="s">
        <v>140</v>
      </c>
      <c r="AJ8" s="26">
        <f>SUM(M2:M994)</f>
        <v>684.0328082397006</v>
      </c>
      <c r="AL8" s="4" t="s">
        <v>103</v>
      </c>
      <c r="AM8" s="26">
        <f>AJ8/$AJ$5</f>
        <v>22.80109360799002</v>
      </c>
      <c r="AO8" s="4" t="s">
        <v>141</v>
      </c>
      <c r="AP8" s="4">
        <f>COUNTA(S2:S49)</f>
        <v>0</v>
      </c>
    </row>
    <row r="9" spans="1:42" ht="14.25">
      <c r="A9" s="27">
        <v>42986</v>
      </c>
      <c r="B9" s="1">
        <f>168*2+14</f>
        <v>350</v>
      </c>
      <c r="C9" s="4">
        <f>B9*AD9</f>
        <v>65.54307116104869</v>
      </c>
      <c r="D9" s="4">
        <f>77</f>
        <v>77</v>
      </c>
      <c r="E9" s="4">
        <f>D9*AD9</f>
        <v>14.419475655430713</v>
      </c>
      <c r="F9" s="4">
        <f>137</f>
        <v>137</v>
      </c>
      <c r="G9" s="4">
        <f>F9*AD9</f>
        <v>25.65543071161049</v>
      </c>
      <c r="I9" s="4">
        <f>H9*AD9</f>
        <v>0</v>
      </c>
      <c r="K9" s="4">
        <f>J9*AD9</f>
        <v>0</v>
      </c>
      <c r="L9" s="4">
        <v>133.33</v>
      </c>
      <c r="M9" s="4">
        <f>L9*AD9</f>
        <v>24.968164794007496</v>
      </c>
      <c r="O9" s="4">
        <f>N9*AD9</f>
        <v>0</v>
      </c>
      <c r="Q9" s="4">
        <f>P9*AD9</f>
        <v>0</v>
      </c>
      <c r="T9" s="4" t="s">
        <v>119</v>
      </c>
      <c r="AB9" s="4" t="s">
        <v>281</v>
      </c>
      <c r="AC9" s="4">
        <f>B9+D9+F9+H9+J9+L9+N9+P9</f>
        <v>697.33</v>
      </c>
      <c r="AD9" s="4">
        <f>1/5.34</f>
        <v>0.18726591760299627</v>
      </c>
      <c r="AE9" s="24">
        <f>AC9*AD9</f>
        <v>130.5861423220974</v>
      </c>
      <c r="AG9" s="4">
        <v>14</v>
      </c>
      <c r="AI9" s="4" t="s">
        <v>143</v>
      </c>
      <c r="AJ9" s="26">
        <f>SUM(C2:C994)</f>
        <v>449.9957513108614</v>
      </c>
      <c r="AL9" s="4" t="s">
        <v>93</v>
      </c>
      <c r="AM9" s="4">
        <f>AJ9/$AJ$5</f>
        <v>14.999858377028714</v>
      </c>
      <c r="AO9" s="4" t="s">
        <v>110</v>
      </c>
      <c r="AP9" s="4">
        <f>COUNTA(V2:V50)</f>
        <v>0</v>
      </c>
    </row>
    <row r="10" spans="1:42" ht="14.25">
      <c r="A10" s="27">
        <v>42987</v>
      </c>
      <c r="C10" s="4">
        <f>B10*AD10</f>
        <v>0</v>
      </c>
      <c r="D10" s="4">
        <f>40+10</f>
        <v>50</v>
      </c>
      <c r="E10" s="4">
        <f>D10*AD10</f>
        <v>9.363295880149813</v>
      </c>
      <c r="F10" s="4">
        <v>115</v>
      </c>
      <c r="G10" s="4">
        <f>F10*AD10</f>
        <v>21.53558052434457</v>
      </c>
      <c r="I10" s="4">
        <f>H10*AD10</f>
        <v>0</v>
      </c>
      <c r="J10" s="4">
        <v>2</v>
      </c>
      <c r="K10" s="4">
        <f>J10*AD10</f>
        <v>0.37453183520599254</v>
      </c>
      <c r="L10" s="4">
        <v>133.33</v>
      </c>
      <c r="M10" s="4">
        <f>L10*AD10</f>
        <v>24.968164794007496</v>
      </c>
      <c r="O10" s="4">
        <f>N10*AD10</f>
        <v>0</v>
      </c>
      <c r="Q10" s="4">
        <f>P10*AD10</f>
        <v>0</v>
      </c>
      <c r="T10" s="4" t="s">
        <v>119</v>
      </c>
      <c r="AB10" s="4" t="s">
        <v>282</v>
      </c>
      <c r="AC10" s="4">
        <f>B10+D10+F10+H10+J10+L10+N10+P10</f>
        <v>300.33000000000004</v>
      </c>
      <c r="AD10" s="4">
        <f>1/5.34</f>
        <v>0.18726591760299627</v>
      </c>
      <c r="AE10" s="24">
        <f>AC10*AD10</f>
        <v>56.24157303370788</v>
      </c>
      <c r="AG10" s="4">
        <v>14</v>
      </c>
      <c r="AI10" s="4" t="s">
        <v>145</v>
      </c>
      <c r="AJ10" s="26">
        <f>SUM(E2:E994)</f>
        <v>571.0365310861423</v>
      </c>
      <c r="AL10" s="4" t="s">
        <v>250</v>
      </c>
      <c r="AM10" s="4">
        <f>AJ10/$AJ$5</f>
        <v>19.034551036204743</v>
      </c>
      <c r="AO10" s="4" t="s">
        <v>184</v>
      </c>
      <c r="AP10" s="4">
        <f>COUNTA(Y2:Y51)</f>
        <v>12</v>
      </c>
    </row>
    <row r="11" spans="1:39" ht="14.25">
      <c r="A11" s="27">
        <v>42988</v>
      </c>
      <c r="C11" s="4">
        <f>B11*AD11</f>
        <v>0</v>
      </c>
      <c r="D11" s="4">
        <f>82</f>
        <v>82</v>
      </c>
      <c r="E11" s="4">
        <f>D11*AD11</f>
        <v>15.355805243445694</v>
      </c>
      <c r="F11" s="4">
        <v>115</v>
      </c>
      <c r="G11" s="4">
        <f>F11*AD11</f>
        <v>21.53558052434457</v>
      </c>
      <c r="I11" s="4">
        <f>H11*AD11</f>
        <v>0</v>
      </c>
      <c r="K11" s="4">
        <f>J11*AD11</f>
        <v>0</v>
      </c>
      <c r="L11" s="4">
        <v>133.33</v>
      </c>
      <c r="M11" s="4">
        <f>L11*AD11</f>
        <v>24.968164794007496</v>
      </c>
      <c r="O11" s="4">
        <f>N11*AD11</f>
        <v>0</v>
      </c>
      <c r="Q11" s="4">
        <f>P11*AD11</f>
        <v>0</v>
      </c>
      <c r="T11" s="4" t="s">
        <v>119</v>
      </c>
      <c r="AB11" s="33" t="s">
        <v>282</v>
      </c>
      <c r="AC11" s="4">
        <f>B11+D11+F11+H11+J11+L11+N11+P11</f>
        <v>330.33000000000004</v>
      </c>
      <c r="AD11" s="4">
        <f>1/5.34</f>
        <v>0.18726591760299627</v>
      </c>
      <c r="AE11" s="24">
        <f>AC11*AD11</f>
        <v>61.85955056179777</v>
      </c>
      <c r="AG11" s="4">
        <v>14</v>
      </c>
      <c r="AI11" s="4" t="s">
        <v>149</v>
      </c>
      <c r="AJ11" s="26">
        <f>SUM(G2:G994)</f>
        <v>178.23760861423222</v>
      </c>
      <c r="AL11" s="4" t="s">
        <v>150</v>
      </c>
      <c r="AM11" s="26">
        <f>AJ11/$AJ$5</f>
        <v>5.9412536204744075</v>
      </c>
    </row>
    <row r="12" spans="1:39" ht="14.25">
      <c r="A12" s="27">
        <v>42989</v>
      </c>
      <c r="B12" s="4">
        <f>80*2</f>
        <v>160</v>
      </c>
      <c r="C12" s="4">
        <f>B12*AD12</f>
        <v>29.962546816479403</v>
      </c>
      <c r="D12" s="4">
        <f>91.5</f>
        <v>91.5</v>
      </c>
      <c r="E12" s="4">
        <f>D12*AD12</f>
        <v>17.134831460674157</v>
      </c>
      <c r="F12" s="4">
        <v>113</v>
      </c>
      <c r="G12" s="4">
        <f>F12*AD12</f>
        <v>21.16104868913858</v>
      </c>
      <c r="I12" s="4">
        <f>H12*AD12</f>
        <v>0</v>
      </c>
      <c r="K12" s="4">
        <f>J12*AD12</f>
        <v>0</v>
      </c>
      <c r="L12" s="4">
        <v>205</v>
      </c>
      <c r="M12" s="4">
        <f>L12*AD12</f>
        <v>38.38951310861424</v>
      </c>
      <c r="O12" s="4">
        <f>N12*AD12</f>
        <v>0</v>
      </c>
      <c r="Q12" s="4">
        <f>P12*AD12</f>
        <v>0</v>
      </c>
      <c r="T12" s="4" t="s">
        <v>119</v>
      </c>
      <c r="AB12" s="33" t="s">
        <v>283</v>
      </c>
      <c r="AC12" s="4">
        <f>B12+D12+F12+H12+J12+L12+N12+P12</f>
        <v>569.5</v>
      </c>
      <c r="AD12" s="4">
        <f>1/5.34</f>
        <v>0.18726591760299627</v>
      </c>
      <c r="AE12" s="24">
        <f>AC12*AD12</f>
        <v>106.64794007490637</v>
      </c>
      <c r="AG12" s="4">
        <v>14</v>
      </c>
      <c r="AI12" s="4" t="s">
        <v>151</v>
      </c>
      <c r="AJ12" s="26">
        <f>SUM(K2:K994)</f>
        <v>127.26663651685395</v>
      </c>
      <c r="AL12" s="4" t="s">
        <v>101</v>
      </c>
      <c r="AM12" s="26">
        <f>AJ12/$AJ$5</f>
        <v>4.242221217228465</v>
      </c>
    </row>
    <row r="13" spans="1:39" ht="14.25">
      <c r="A13" s="27">
        <v>42990</v>
      </c>
      <c r="B13" s="1">
        <f>144*2+25*2</f>
        <v>338</v>
      </c>
      <c r="C13" s="4">
        <f>B13*AD13</f>
        <v>63.29588014981274</v>
      </c>
      <c r="D13" s="4">
        <f>18+15+20.5+19</f>
        <v>72.5</v>
      </c>
      <c r="E13" s="4">
        <f>D13*AD13</f>
        <v>13.57677902621723</v>
      </c>
      <c r="F13" s="4">
        <v>105</v>
      </c>
      <c r="G13" s="4">
        <f>F13*AD13</f>
        <v>19.662921348314608</v>
      </c>
      <c r="I13" s="4">
        <f>H13*AD13</f>
        <v>0</v>
      </c>
      <c r="K13" s="4">
        <f>J13*AD13</f>
        <v>0</v>
      </c>
      <c r="L13" s="4">
        <v>250</v>
      </c>
      <c r="M13" s="4">
        <f>L13*AD13</f>
        <v>46.81647940074907</v>
      </c>
      <c r="O13" s="4">
        <f>N13*AD13</f>
        <v>0</v>
      </c>
      <c r="Q13" s="4">
        <f>P13*AD13</f>
        <v>0</v>
      </c>
      <c r="T13" s="4" t="s">
        <v>119</v>
      </c>
      <c r="AB13" s="33" t="s">
        <v>284</v>
      </c>
      <c r="AC13" s="4">
        <f>B13+D13+F13+H13+J13+L13+N13+P13</f>
        <v>765.5</v>
      </c>
      <c r="AD13" s="4">
        <f>1/5.34</f>
        <v>0.18726591760299627</v>
      </c>
      <c r="AE13" s="24">
        <f>AC13*AD13</f>
        <v>143.35205992509364</v>
      </c>
      <c r="AG13" s="4">
        <v>14</v>
      </c>
      <c r="AI13" s="4" t="s">
        <v>153</v>
      </c>
      <c r="AJ13" s="4">
        <f>SUM(I2:I994)</f>
        <v>1.8890000000000002</v>
      </c>
      <c r="AL13" s="4" t="s">
        <v>99</v>
      </c>
      <c r="AM13" s="26">
        <f>AJ13/$AJ$5</f>
        <v>0.06296666666666667</v>
      </c>
    </row>
    <row r="14" spans="1:36" ht="14.25">
      <c r="A14" s="27">
        <v>42991</v>
      </c>
      <c r="B14" s="4">
        <f>80*2+65*2+7*2</f>
        <v>304</v>
      </c>
      <c r="C14" s="4">
        <f>B14*AD14</f>
        <v>56.928838951310865</v>
      </c>
      <c r="D14" s="4">
        <f>185</f>
        <v>185</v>
      </c>
      <c r="E14" s="4">
        <f>D14*AD14</f>
        <v>34.64419475655431</v>
      </c>
      <c r="G14" s="4">
        <f>F14*AD14</f>
        <v>0</v>
      </c>
      <c r="I14" s="4">
        <f>H14*AD14</f>
        <v>0</v>
      </c>
      <c r="J14" s="4">
        <v>20</v>
      </c>
      <c r="K14" s="4">
        <f>J14*AD14</f>
        <v>3.7453183520599254</v>
      </c>
      <c r="L14" s="4">
        <v>208</v>
      </c>
      <c r="M14" s="4">
        <f>L14*AD14</f>
        <v>38.951310861423224</v>
      </c>
      <c r="O14" s="4">
        <f>N14*AD14</f>
        <v>0</v>
      </c>
      <c r="Q14" s="4">
        <f>P14*AD14</f>
        <v>0</v>
      </c>
      <c r="Y14" s="4" t="s">
        <v>119</v>
      </c>
      <c r="AB14" s="33" t="s">
        <v>285</v>
      </c>
      <c r="AC14" s="4">
        <f>B14+D14+F14+H14+J14+L14+N14+P14</f>
        <v>717</v>
      </c>
      <c r="AD14" s="4">
        <f>1/5.34</f>
        <v>0.18726591760299627</v>
      </c>
      <c r="AE14" s="24">
        <f>AC14*AD14</f>
        <v>134.26966292134833</v>
      </c>
      <c r="AG14" s="4">
        <v>14</v>
      </c>
      <c r="AI14" s="4" t="s">
        <v>163</v>
      </c>
      <c r="AJ14" s="26">
        <f>SUM(O2:O994)</f>
        <v>0</v>
      </c>
    </row>
    <row r="15" spans="1:36" ht="14.25">
      <c r="A15" s="27">
        <v>42992</v>
      </c>
      <c r="C15" s="4">
        <f>B15*AD15</f>
        <v>0</v>
      </c>
      <c r="D15" s="4">
        <v>170</v>
      </c>
      <c r="E15" s="4">
        <f>D15*AD15</f>
        <v>31.835205992509366</v>
      </c>
      <c r="G15" s="4">
        <f>F15*AD15</f>
        <v>0</v>
      </c>
      <c r="I15" s="4">
        <f>H15*AD15</f>
        <v>0</v>
      </c>
      <c r="K15" s="4">
        <f>J15*AD15</f>
        <v>0</v>
      </c>
      <c r="L15" s="4">
        <v>208</v>
      </c>
      <c r="M15" s="4">
        <f>L15*AD15</f>
        <v>38.951310861423224</v>
      </c>
      <c r="O15" s="4">
        <f>N15*AD15</f>
        <v>0</v>
      </c>
      <c r="Q15" s="4">
        <f>P15*AD15</f>
        <v>0</v>
      </c>
      <c r="Y15" s="4" t="s">
        <v>119</v>
      </c>
      <c r="AB15" s="33" t="s">
        <v>286</v>
      </c>
      <c r="AC15" s="4">
        <f>B15+D15+F15+H15+J15+L15+N15+P15</f>
        <v>378</v>
      </c>
      <c r="AD15" s="4">
        <f>1/5.34</f>
        <v>0.18726591760299627</v>
      </c>
      <c r="AE15" s="24">
        <f>AC15*AD15</f>
        <v>70.7865168539326</v>
      </c>
      <c r="AG15" s="4">
        <v>14</v>
      </c>
      <c r="AI15" s="4" t="s">
        <v>194</v>
      </c>
      <c r="AJ15" s="4">
        <f>SUM(Q2:Q60)</f>
        <v>0</v>
      </c>
    </row>
    <row r="16" spans="1:35" ht="14.25">
      <c r="A16" s="2">
        <v>42993</v>
      </c>
      <c r="C16" s="4">
        <f>B16*AD16</f>
        <v>0</v>
      </c>
      <c r="E16" s="4">
        <f>D16*AD16</f>
        <v>0</v>
      </c>
      <c r="G16" s="4">
        <f>F16*AD16</f>
        <v>0</v>
      </c>
      <c r="I16" s="4">
        <f>H16*AD16</f>
        <v>0</v>
      </c>
      <c r="J16" s="4">
        <v>64</v>
      </c>
      <c r="K16" s="4">
        <f>J16*AD16</f>
        <v>11.985018726591761</v>
      </c>
      <c r="L16" s="4">
        <v>208</v>
      </c>
      <c r="M16" s="4">
        <f>L16*AD16</f>
        <v>38.951310861423224</v>
      </c>
      <c r="O16" s="4">
        <f>N16*AD16</f>
        <v>0</v>
      </c>
      <c r="Q16" s="4">
        <f>P16*AD16</f>
        <v>0</v>
      </c>
      <c r="Y16" s="4" t="s">
        <v>119</v>
      </c>
      <c r="AB16" s="33" t="s">
        <v>286</v>
      </c>
      <c r="AC16" s="4">
        <f>B16+D16+F16+H16+J16+L16+N16+P16</f>
        <v>272</v>
      </c>
      <c r="AD16" s="4">
        <f>1/5.34</f>
        <v>0.18726591760299627</v>
      </c>
      <c r="AE16" s="24">
        <f>AC16*AD16</f>
        <v>50.936329588014985</v>
      </c>
      <c r="AG16" s="4">
        <v>14</v>
      </c>
      <c r="AI16" s="30"/>
    </row>
    <row r="17" spans="1:44" ht="14.25">
      <c r="A17" s="27">
        <v>42994</v>
      </c>
      <c r="C17" s="4">
        <f>B17*AD17</f>
        <v>0</v>
      </c>
      <c r="D17" s="4">
        <f>170+17</f>
        <v>187</v>
      </c>
      <c r="E17" s="4">
        <f>D17*AD17</f>
        <v>35.0187265917603</v>
      </c>
      <c r="G17" s="4">
        <f>F17*AD17</f>
        <v>0</v>
      </c>
      <c r="I17" s="4">
        <f>H17*AD17</f>
        <v>0</v>
      </c>
      <c r="K17" s="4">
        <f>J17*AD17</f>
        <v>0</v>
      </c>
      <c r="L17" s="4">
        <v>208</v>
      </c>
      <c r="M17" s="4">
        <f>L17*AD17</f>
        <v>38.951310861423224</v>
      </c>
      <c r="O17" s="4">
        <f>N17*AD17</f>
        <v>0</v>
      </c>
      <c r="Q17" s="4">
        <f>P17*AD17</f>
        <v>0</v>
      </c>
      <c r="Y17" s="4" t="s">
        <v>119</v>
      </c>
      <c r="AB17" s="33" t="s">
        <v>286</v>
      </c>
      <c r="AC17" s="4">
        <f>B17+D17+F17+H17+J17+L17+N17+P17</f>
        <v>395</v>
      </c>
      <c r="AD17" s="4">
        <f>1/5.34</f>
        <v>0.18726591760299627</v>
      </c>
      <c r="AE17" s="24">
        <f>AC17*AD17</f>
        <v>73.97003745318352</v>
      </c>
      <c r="AG17" s="4">
        <v>14</v>
      </c>
      <c r="AR17" s="25"/>
    </row>
    <row r="18" spans="1:44" ht="14.25">
      <c r="A18" s="27">
        <v>42995</v>
      </c>
      <c r="C18" s="4">
        <f>B18*AD18</f>
        <v>0</v>
      </c>
      <c r="E18" s="4">
        <f>D18*AD18</f>
        <v>0</v>
      </c>
      <c r="G18" s="4">
        <f>F18*AD18</f>
        <v>0</v>
      </c>
      <c r="I18" s="4">
        <f>H18*AD18</f>
        <v>0</v>
      </c>
      <c r="J18" s="4">
        <v>15</v>
      </c>
      <c r="K18" s="4">
        <f>J18*AD18</f>
        <v>2.808988764044944</v>
      </c>
      <c r="L18" s="4">
        <v>208</v>
      </c>
      <c r="M18" s="4">
        <f>L18*AD18</f>
        <v>38.951310861423224</v>
      </c>
      <c r="O18" s="4">
        <f>N18*AD18</f>
        <v>0</v>
      </c>
      <c r="Q18" s="4">
        <f>P18*AD18</f>
        <v>0</v>
      </c>
      <c r="Y18" s="4" t="s">
        <v>119</v>
      </c>
      <c r="AB18" s="33" t="s">
        <v>286</v>
      </c>
      <c r="AC18" s="4">
        <f>B18+D18+F18+H18+J18+L18+N18+P18</f>
        <v>223</v>
      </c>
      <c r="AD18" s="4">
        <f>1/5.34</f>
        <v>0.18726591760299627</v>
      </c>
      <c r="AE18" s="24">
        <f>AC18*AD18</f>
        <v>41.760299625468164</v>
      </c>
      <c r="AG18" s="4">
        <v>14</v>
      </c>
      <c r="AI18" s="4" t="s">
        <v>256</v>
      </c>
      <c r="AJ18" s="4">
        <f>SUM(AA2:AA50)</f>
        <v>0</v>
      </c>
      <c r="AR18" s="25"/>
    </row>
    <row r="19" spans="1:33" ht="14.25">
      <c r="A19" s="27">
        <v>42996</v>
      </c>
      <c r="C19" s="4">
        <f>B19*AD19</f>
        <v>0</v>
      </c>
      <c r="D19" s="4">
        <v>117</v>
      </c>
      <c r="E19" s="4">
        <f>D19*AD19</f>
        <v>21.910112359550563</v>
      </c>
      <c r="G19" s="4">
        <f>F19*AD19</f>
        <v>0</v>
      </c>
      <c r="I19" s="4">
        <f>H19*AD19</f>
        <v>0</v>
      </c>
      <c r="K19" s="4">
        <f>J19*AD19</f>
        <v>0</v>
      </c>
      <c r="M19" s="4">
        <f>L19*AD19</f>
        <v>0</v>
      </c>
      <c r="O19" s="4">
        <f>N19*AD19</f>
        <v>0</v>
      </c>
      <c r="Q19" s="4">
        <f>P19*AD19</f>
        <v>0</v>
      </c>
      <c r="U19" s="4" t="s">
        <v>119</v>
      </c>
      <c r="AB19" s="33" t="s">
        <v>286</v>
      </c>
      <c r="AC19" s="4">
        <f>B19+D19+F19+H19+J19+L19+N19+P19</f>
        <v>117</v>
      </c>
      <c r="AD19" s="4">
        <f>1/5.34</f>
        <v>0.18726591760299627</v>
      </c>
      <c r="AE19" s="24">
        <f>AC19*AD19</f>
        <v>21.910112359550563</v>
      </c>
      <c r="AG19" s="4">
        <v>14</v>
      </c>
    </row>
    <row r="20" spans="1:33" ht="14.25">
      <c r="A20" s="27">
        <v>42997</v>
      </c>
      <c r="C20" s="4">
        <f>B20*AD20</f>
        <v>0</v>
      </c>
      <c r="E20" s="4">
        <f>D20*AD20</f>
        <v>0</v>
      </c>
      <c r="G20" s="4">
        <f>F20*AD20</f>
        <v>0</v>
      </c>
      <c r="I20" s="4">
        <f>H20*AD20</f>
        <v>0</v>
      </c>
      <c r="K20" s="4">
        <f>J20*AD20</f>
        <v>0</v>
      </c>
      <c r="M20" s="4">
        <f>L20*AD20</f>
        <v>0</v>
      </c>
      <c r="O20" s="4">
        <f>N20*AD20</f>
        <v>0</v>
      </c>
      <c r="Q20" s="4">
        <f>P20*AD20</f>
        <v>0</v>
      </c>
      <c r="U20" s="4" t="s">
        <v>119</v>
      </c>
      <c r="AB20" s="33" t="s">
        <v>286</v>
      </c>
      <c r="AC20" s="4">
        <f>B20+D20+F20+H20+J20+L20+N20+P20</f>
        <v>0</v>
      </c>
      <c r="AD20" s="4">
        <f>1/5.34</f>
        <v>0.18726591760299627</v>
      </c>
      <c r="AE20" s="24">
        <f>AC20*AD20</f>
        <v>0</v>
      </c>
      <c r="AG20" s="4">
        <v>14</v>
      </c>
    </row>
    <row r="21" spans="1:33" ht="14.25">
      <c r="A21" s="2">
        <v>42998</v>
      </c>
      <c r="C21" s="4">
        <f>B21*AD21</f>
        <v>0</v>
      </c>
      <c r="D21" s="4">
        <v>313</v>
      </c>
      <c r="E21" s="4">
        <f>D21*AD21</f>
        <v>58.614232209737835</v>
      </c>
      <c r="G21" s="4">
        <f>F21*AD21</f>
        <v>0</v>
      </c>
      <c r="I21" s="4">
        <f>H21*AD21</f>
        <v>0</v>
      </c>
      <c r="J21" s="4">
        <f>140+20+10</f>
        <v>170</v>
      </c>
      <c r="K21" s="4">
        <f>J21*AD21</f>
        <v>31.835205992509366</v>
      </c>
      <c r="M21" s="4">
        <f>L21*AD21</f>
        <v>0</v>
      </c>
      <c r="O21" s="4">
        <f>N21*AD21</f>
        <v>0</v>
      </c>
      <c r="Q21" s="4">
        <f>P21*AD21</f>
        <v>0</v>
      </c>
      <c r="U21" s="4" t="s">
        <v>119</v>
      </c>
      <c r="AB21" s="33" t="s">
        <v>286</v>
      </c>
      <c r="AC21" s="4">
        <f>B21+D21+F21+H21+J21+L21+N21+P21</f>
        <v>483</v>
      </c>
      <c r="AD21" s="4">
        <f>1/5.34</f>
        <v>0.18726591760299627</v>
      </c>
      <c r="AE21" s="24">
        <f>AC21*AD21</f>
        <v>90.4494382022472</v>
      </c>
      <c r="AG21" s="4">
        <v>14</v>
      </c>
    </row>
    <row r="22" spans="1:33" ht="14.25">
      <c r="A22" s="27">
        <v>42999</v>
      </c>
      <c r="C22" s="4">
        <f>B22*AD22</f>
        <v>0</v>
      </c>
      <c r="E22" s="4">
        <f>D22*AD22</f>
        <v>0</v>
      </c>
      <c r="G22" s="4">
        <f>F22*AD22</f>
        <v>0</v>
      </c>
      <c r="I22" s="4">
        <f>H22*AD22</f>
        <v>0</v>
      </c>
      <c r="J22" s="4">
        <v>93</v>
      </c>
      <c r="K22" s="4">
        <f>J22*AD22</f>
        <v>17.415730337078653</v>
      </c>
      <c r="M22" s="4">
        <f>L22*AD22</f>
        <v>0</v>
      </c>
      <c r="O22" s="4">
        <f>N22*AD22</f>
        <v>0</v>
      </c>
      <c r="Q22" s="4">
        <f>P22*AD22</f>
        <v>0</v>
      </c>
      <c r="U22" s="4" t="s">
        <v>119</v>
      </c>
      <c r="AB22" s="33" t="s">
        <v>286</v>
      </c>
      <c r="AC22" s="4">
        <f>B22+D22+F22+H22+J22+L22+N22+P22</f>
        <v>93</v>
      </c>
      <c r="AD22" s="4">
        <f>1/5.34</f>
        <v>0.18726591760299627</v>
      </c>
      <c r="AE22" s="24">
        <f>AC22*AD22</f>
        <v>17.415730337078653</v>
      </c>
      <c r="AG22" s="4">
        <v>14</v>
      </c>
    </row>
    <row r="23" spans="1:33" ht="14.25">
      <c r="A23" s="27">
        <v>43000</v>
      </c>
      <c r="C23" s="4">
        <f>B23*AD23</f>
        <v>0</v>
      </c>
      <c r="E23" s="4">
        <f>D23*AD23</f>
        <v>0</v>
      </c>
      <c r="F23" s="4">
        <v>100</v>
      </c>
      <c r="G23" s="4">
        <f>F23*AD23</f>
        <v>18.726591760299627</v>
      </c>
      <c r="I23" s="4">
        <f>H23*AD23</f>
        <v>0</v>
      </c>
      <c r="K23" s="4">
        <f>J23*AD23</f>
        <v>0</v>
      </c>
      <c r="M23" s="4">
        <f>L23*AD23</f>
        <v>0</v>
      </c>
      <c r="O23" s="4">
        <f>N23*AD23</f>
        <v>0</v>
      </c>
      <c r="Q23" s="4">
        <f>P23*AD23</f>
        <v>0</v>
      </c>
      <c r="U23" s="4" t="s">
        <v>119</v>
      </c>
      <c r="AB23" s="33" t="s">
        <v>286</v>
      </c>
      <c r="AC23" s="4">
        <f>B23+D23+F23+H23+J23+L23+N23+P23</f>
        <v>100</v>
      </c>
      <c r="AD23" s="4">
        <f>1/5.34</f>
        <v>0.18726591760299627</v>
      </c>
      <c r="AE23" s="24">
        <f>AC23*AD23</f>
        <v>18.726591760299627</v>
      </c>
      <c r="AG23" s="4">
        <v>14</v>
      </c>
    </row>
    <row r="24" spans="1:33" ht="14.25">
      <c r="A24" s="27">
        <v>43001</v>
      </c>
      <c r="C24" s="4">
        <f>B24*AD24</f>
        <v>0</v>
      </c>
      <c r="D24" s="4">
        <v>160</v>
      </c>
      <c r="E24" s="4">
        <f>D24*AD24</f>
        <v>29.962546816479403</v>
      </c>
      <c r="G24" s="4">
        <f>F24*AD24</f>
        <v>0</v>
      </c>
      <c r="I24" s="4">
        <f>H24*AD24</f>
        <v>0</v>
      </c>
      <c r="K24" s="4">
        <f>J24*AD24</f>
        <v>0</v>
      </c>
      <c r="M24" s="4">
        <f>L24*AD24</f>
        <v>0</v>
      </c>
      <c r="O24" s="4">
        <f>N24*AD24</f>
        <v>0</v>
      </c>
      <c r="Q24" s="4">
        <f>P24*AD24</f>
        <v>0</v>
      </c>
      <c r="U24" s="4" t="s">
        <v>119</v>
      </c>
      <c r="AB24" s="33" t="s">
        <v>286</v>
      </c>
      <c r="AC24" s="4">
        <f>B24+D24+F24+H24+J24+L24+N24+P24</f>
        <v>160</v>
      </c>
      <c r="AD24" s="4">
        <f>1/5.34</f>
        <v>0.18726591760299627</v>
      </c>
      <c r="AE24" s="24">
        <f>AC24*AD24</f>
        <v>29.962546816479403</v>
      </c>
      <c r="AG24" s="4">
        <v>14</v>
      </c>
    </row>
    <row r="25" spans="1:33" ht="14.25">
      <c r="A25" s="27">
        <v>43002</v>
      </c>
      <c r="C25" s="4">
        <f>B25*AD25</f>
        <v>0</v>
      </c>
      <c r="D25" s="4">
        <v>56</v>
      </c>
      <c r="E25" s="4">
        <f>D25*AD25</f>
        <v>10.486891385767791</v>
      </c>
      <c r="G25" s="4">
        <f>F25*AD25</f>
        <v>0</v>
      </c>
      <c r="I25" s="4">
        <f>H25*AD25</f>
        <v>0</v>
      </c>
      <c r="K25" s="4">
        <f>J25*AD25</f>
        <v>0</v>
      </c>
      <c r="M25" s="4">
        <f>L25*AD25</f>
        <v>0</v>
      </c>
      <c r="O25" s="4">
        <f>N25*AD25</f>
        <v>0</v>
      </c>
      <c r="Q25" s="4">
        <f>P25*AD25</f>
        <v>0</v>
      </c>
      <c r="U25" s="4" t="s">
        <v>119</v>
      </c>
      <c r="AB25" s="33" t="s">
        <v>286</v>
      </c>
      <c r="AC25" s="4">
        <f>B25+D25+F25+H25+J25+L25+N25+P25</f>
        <v>56</v>
      </c>
      <c r="AD25" s="4">
        <f>1/5.34</f>
        <v>0.18726591760299627</v>
      </c>
      <c r="AE25" s="24">
        <f>AC25*AD25</f>
        <v>10.486891385767791</v>
      </c>
      <c r="AG25" s="4">
        <v>14</v>
      </c>
    </row>
    <row r="26" spans="1:33" ht="14.25">
      <c r="A26" s="27">
        <v>43003</v>
      </c>
      <c r="B26" s="4">
        <f>7*4</f>
        <v>28</v>
      </c>
      <c r="C26" s="4">
        <f>B26*AD26</f>
        <v>5.2434456928838955</v>
      </c>
      <c r="D26" s="4">
        <f>10+232</f>
        <v>242</v>
      </c>
      <c r="E26" s="4">
        <f>D26*AD26</f>
        <v>45.3183520599251</v>
      </c>
      <c r="F26" s="4">
        <v>60</v>
      </c>
      <c r="G26" s="4">
        <f>F26*AD26</f>
        <v>11.235955056179776</v>
      </c>
      <c r="I26" s="4">
        <f>H26*AD26</f>
        <v>0</v>
      </c>
      <c r="K26" s="4">
        <f>J26*AD26</f>
        <v>0</v>
      </c>
      <c r="M26" s="4">
        <f>L26*AD26</f>
        <v>0</v>
      </c>
      <c r="O26" s="4">
        <f>N26*AD26</f>
        <v>0</v>
      </c>
      <c r="Q26" s="4">
        <f>P26*AD26</f>
        <v>0</v>
      </c>
      <c r="U26" s="4" t="s">
        <v>119</v>
      </c>
      <c r="AB26" s="4" t="s">
        <v>286</v>
      </c>
      <c r="AC26" s="4">
        <f>B26+D26+F26+H26+J26+L26+N26+P26</f>
        <v>330</v>
      </c>
      <c r="AD26" s="4">
        <f>1/5.34</f>
        <v>0.18726591760299627</v>
      </c>
      <c r="AE26" s="24">
        <f>AC26*AD26</f>
        <v>61.79775280898877</v>
      </c>
      <c r="AG26" s="4">
        <v>14</v>
      </c>
    </row>
    <row r="27" spans="1:33" ht="14.25">
      <c r="A27" s="27">
        <v>43004</v>
      </c>
      <c r="C27" s="4">
        <f>B27*AD27</f>
        <v>0</v>
      </c>
      <c r="E27" s="4">
        <f>D27*AD27</f>
        <v>0</v>
      </c>
      <c r="G27" s="4">
        <f>F27*AD27</f>
        <v>0</v>
      </c>
      <c r="I27" s="4">
        <f>H27*AD27</f>
        <v>0</v>
      </c>
      <c r="J27" s="4">
        <v>120</v>
      </c>
      <c r="K27" s="4">
        <f>J27*AD27</f>
        <v>22.471910112359552</v>
      </c>
      <c r="M27" s="4">
        <f>L27*AD27</f>
        <v>0</v>
      </c>
      <c r="O27" s="4">
        <f>N27*AD27</f>
        <v>0</v>
      </c>
      <c r="Q27" s="4">
        <f>P27*AD27</f>
        <v>0</v>
      </c>
      <c r="U27" s="4" t="s">
        <v>119</v>
      </c>
      <c r="AB27" s="4" t="s">
        <v>286</v>
      </c>
      <c r="AC27" s="4">
        <f>B27+D27+F27+H27+J27+L27+N27+P27</f>
        <v>120</v>
      </c>
      <c r="AD27" s="4">
        <f>1/5.34</f>
        <v>0.18726591760299627</v>
      </c>
      <c r="AE27" s="24">
        <f>AC27*AD27</f>
        <v>22.471910112359552</v>
      </c>
      <c r="AG27" s="4">
        <v>14</v>
      </c>
    </row>
    <row r="28" spans="1:33" ht="14.25">
      <c r="A28" s="27">
        <v>43005</v>
      </c>
      <c r="C28" s="4">
        <f>B28*AD28</f>
        <v>0</v>
      </c>
      <c r="D28" s="4">
        <f>185</f>
        <v>185</v>
      </c>
      <c r="E28" s="4">
        <f>D28*AD28</f>
        <v>34.64419475655431</v>
      </c>
      <c r="G28" s="4">
        <f>F28*AD28</f>
        <v>0</v>
      </c>
      <c r="I28" s="4">
        <f>H28*AD28</f>
        <v>0</v>
      </c>
      <c r="J28" s="4">
        <v>68</v>
      </c>
      <c r="K28" s="4">
        <f>J28*AD28</f>
        <v>12.734082397003746</v>
      </c>
      <c r="M28" s="4">
        <f>L28*AD28</f>
        <v>0</v>
      </c>
      <c r="O28" s="4">
        <f>N28*AD28</f>
        <v>0</v>
      </c>
      <c r="Q28" s="4">
        <f>P28*AD28</f>
        <v>0</v>
      </c>
      <c r="U28" s="4" t="s">
        <v>119</v>
      </c>
      <c r="AB28" s="4" t="s">
        <v>286</v>
      </c>
      <c r="AC28" s="4">
        <f>B28+D28+F28+H28+J28+L28+N28+P28</f>
        <v>253</v>
      </c>
      <c r="AD28" s="4">
        <f>1/5.34</f>
        <v>0.18726591760299627</v>
      </c>
      <c r="AE28" s="24">
        <f>AC28*AD28</f>
        <v>47.37827715355806</v>
      </c>
      <c r="AG28" s="4">
        <v>14</v>
      </c>
    </row>
    <row r="29" spans="1:33" ht="14.25">
      <c r="A29" s="27">
        <v>43006</v>
      </c>
      <c r="C29" s="4">
        <f>B29*AD29</f>
        <v>0</v>
      </c>
      <c r="D29" s="4">
        <v>140</v>
      </c>
      <c r="E29" s="4">
        <f>D29*AD29</f>
        <v>26.217228464419478</v>
      </c>
      <c r="G29" s="4">
        <f>F29*AD29</f>
        <v>0</v>
      </c>
      <c r="I29" s="4">
        <f>H29*AD29</f>
        <v>0</v>
      </c>
      <c r="K29" s="4">
        <f>J29*AD29</f>
        <v>0</v>
      </c>
      <c r="M29" s="4">
        <f>L29*AD29</f>
        <v>0</v>
      </c>
      <c r="O29" s="4">
        <f>N29*AD29</f>
        <v>0</v>
      </c>
      <c r="Q29" s="4">
        <f>P29*AD29</f>
        <v>0</v>
      </c>
      <c r="U29" s="4" t="s">
        <v>119</v>
      </c>
      <c r="AB29" s="4" t="s">
        <v>286</v>
      </c>
      <c r="AC29" s="4">
        <f>B29+D29+F29+H29+J29+L29+N29+P29</f>
        <v>140</v>
      </c>
      <c r="AD29" s="4">
        <f>1/5.34</f>
        <v>0.18726591760299627</v>
      </c>
      <c r="AE29" s="24">
        <f>AC29*AD29</f>
        <v>26.217228464419478</v>
      </c>
      <c r="AG29" s="4">
        <v>14</v>
      </c>
    </row>
    <row r="30" spans="1:33" ht="14.25">
      <c r="A30" s="27">
        <v>43007</v>
      </c>
      <c r="B30" s="4">
        <f>459*2</f>
        <v>918</v>
      </c>
      <c r="C30" s="4">
        <f>B30*AD30</f>
        <v>171.91011235955057</v>
      </c>
      <c r="D30" s="4">
        <v>189</v>
      </c>
      <c r="E30" s="4">
        <f>D30*AD30</f>
        <v>35.3932584269663</v>
      </c>
      <c r="G30" s="4">
        <f>F30*AD30</f>
        <v>0</v>
      </c>
      <c r="I30" s="4">
        <f>H30*AD30</f>
        <v>0</v>
      </c>
      <c r="K30" s="4">
        <f>J30*AD30</f>
        <v>0</v>
      </c>
      <c r="L30" s="4">
        <v>200</v>
      </c>
      <c r="M30" s="4">
        <f>L30*AD30</f>
        <v>37.453183520599254</v>
      </c>
      <c r="O30" s="4">
        <f>N30*AD30</f>
        <v>0</v>
      </c>
      <c r="Q30" s="4">
        <f>P30*AD30</f>
        <v>0</v>
      </c>
      <c r="Y30" s="4" t="s">
        <v>119</v>
      </c>
      <c r="AB30" s="4" t="s">
        <v>286</v>
      </c>
      <c r="AC30" s="4">
        <f>B30+D30+F30+H30+J30+L30+N30+P30</f>
        <v>1307</v>
      </c>
      <c r="AD30" s="4">
        <f>1/5.34</f>
        <v>0.18726591760299627</v>
      </c>
      <c r="AE30" s="24">
        <f>AC30*AD30</f>
        <v>244.75655430711612</v>
      </c>
      <c r="AG30" s="4">
        <v>14</v>
      </c>
    </row>
    <row r="31" spans="1:33" ht="14.25">
      <c r="A31" s="27">
        <v>43008</v>
      </c>
      <c r="B31" s="4">
        <f>48*4</f>
        <v>192</v>
      </c>
      <c r="C31" s="4">
        <f>B31*AD31</f>
        <v>35.95505617977528</v>
      </c>
      <c r="E31" s="4">
        <f>D31*AD31</f>
        <v>0</v>
      </c>
      <c r="G31" s="4">
        <f>F31*AD31</f>
        <v>0</v>
      </c>
      <c r="I31" s="4">
        <f>H31*AD31</f>
        <v>0</v>
      </c>
      <c r="K31" s="4">
        <f>J31*AD31</f>
        <v>0</v>
      </c>
      <c r="L31" s="4">
        <v>200</v>
      </c>
      <c r="M31" s="4">
        <f>L31*AD31</f>
        <v>37.453183520599254</v>
      </c>
      <c r="O31" s="4">
        <f>N31*AD31</f>
        <v>0</v>
      </c>
      <c r="Q31" s="4">
        <f>P31*AD31</f>
        <v>0</v>
      </c>
      <c r="Y31" s="4" t="s">
        <v>119</v>
      </c>
      <c r="AB31" s="4" t="s">
        <v>286</v>
      </c>
      <c r="AC31" s="4">
        <f>B31+D31+F31+H31+J31+L31+N31+P31</f>
        <v>392</v>
      </c>
      <c r="AD31" s="4">
        <f>1/5.34</f>
        <v>0.18726591760299627</v>
      </c>
      <c r="AE31" s="24">
        <f>AC31*AD31</f>
        <v>73.40823970037454</v>
      </c>
      <c r="AG31" s="4">
        <v>14</v>
      </c>
    </row>
    <row r="32" spans="1:33" ht="14.25">
      <c r="A32" s="27"/>
      <c r="C32" s="4">
        <f>B32*AD32</f>
        <v>0</v>
      </c>
      <c r="E32" s="4">
        <f>D32*AD32</f>
        <v>0</v>
      </c>
      <c r="G32" s="4">
        <f>F32*AD32</f>
        <v>0</v>
      </c>
      <c r="I32" s="4">
        <f>H32*AD32</f>
        <v>0</v>
      </c>
      <c r="K32" s="4">
        <f>J32*AD32</f>
        <v>0</v>
      </c>
      <c r="M32" s="4">
        <f>L32*AD32</f>
        <v>0</v>
      </c>
      <c r="O32" s="4">
        <f>N32*AD32</f>
        <v>0</v>
      </c>
      <c r="Q32" s="4">
        <f>P32*AD32</f>
        <v>0</v>
      </c>
      <c r="AC32" s="4">
        <f>B32+D32+F32+H32+J32+L32+N32+P32</f>
        <v>0</v>
      </c>
      <c r="AD32" s="4">
        <f>1/5.34</f>
        <v>0.18726591760299627</v>
      </c>
      <c r="AE32" s="24">
        <f>AC32*AD32</f>
        <v>0</v>
      </c>
      <c r="AG32" s="4">
        <v>14</v>
      </c>
    </row>
    <row r="33" spans="1:33" ht="14.25">
      <c r="A33" s="25"/>
      <c r="C33" s="4">
        <f>B33*AD33</f>
        <v>0</v>
      </c>
      <c r="E33" s="4">
        <f>D33*AD33</f>
        <v>0</v>
      </c>
      <c r="G33" s="4">
        <f>F33*AD33</f>
        <v>0</v>
      </c>
      <c r="I33" s="4">
        <f>H33*AD33</f>
        <v>0</v>
      </c>
      <c r="K33" s="4">
        <f>J33*AD33</f>
        <v>0</v>
      </c>
      <c r="M33" s="4">
        <f>L33*AD33</f>
        <v>0</v>
      </c>
      <c r="O33" s="4">
        <f>N33*AD33</f>
        <v>0</v>
      </c>
      <c r="Q33" s="4">
        <f>P33*AD33</f>
        <v>0</v>
      </c>
      <c r="AC33" s="4">
        <f>B33+D33+F33+H33+J33+L33+N33+P33</f>
        <v>0</v>
      </c>
      <c r="AD33" s="4">
        <f>1/5.34</f>
        <v>0.18726591760299627</v>
      </c>
      <c r="AE33" s="24">
        <f>AC33*AD33</f>
        <v>0</v>
      </c>
      <c r="AG33" s="4">
        <v>14</v>
      </c>
    </row>
    <row r="34" spans="1:33" ht="12.7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f>1/5.34</f>
        <v>0.18726591760299627</v>
      </c>
      <c r="AE34" s="24">
        <f>AC34*AD34</f>
        <v>0</v>
      </c>
      <c r="AG34" s="4">
        <v>14</v>
      </c>
    </row>
    <row r="35" spans="3:31" ht="12.7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f>1/5.34</f>
        <v>0.18726591760299627</v>
      </c>
      <c r="AE35" s="24">
        <f>AC35*AD35</f>
        <v>0</v>
      </c>
    </row>
    <row r="36" spans="3:31" ht="12.7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f>(693.63/600000)</f>
        <v>0.00115605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f>(693.63/600000)</f>
        <v>0.00115605</v>
      </c>
      <c r="AE37" s="24">
        <f>AC37*AD37</f>
        <v>0</v>
      </c>
    </row>
    <row r="38" spans="3:31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0.1889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R16">
      <selection activeCell="AE46" sqref="AE46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4.625" style="4" customWidth="1"/>
    <col min="48" max="48" width="7.375" style="4" customWidth="1"/>
    <col min="49" max="49" width="10.625" style="4" customWidth="1"/>
    <col min="50" max="50" width="11.87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43009</v>
      </c>
      <c r="B2" s="4">
        <f>18*4</f>
        <v>72</v>
      </c>
      <c r="C2" s="4">
        <f>B2*AD2</f>
        <v>13.483146067415731</v>
      </c>
      <c r="D2" s="4">
        <v>134</v>
      </c>
      <c r="E2" s="4">
        <f>D2*AD2</f>
        <v>25.0936329588015</v>
      </c>
      <c r="F2" s="4">
        <v>100</v>
      </c>
      <c r="G2" s="4">
        <f>F2*AD2</f>
        <v>18.726591760299627</v>
      </c>
      <c r="H2" s="4">
        <f>25*2</f>
        <v>50</v>
      </c>
      <c r="I2" s="4">
        <f>H2*AD2</f>
        <v>9.363295880149813</v>
      </c>
      <c r="J2" s="4">
        <v>10</v>
      </c>
      <c r="K2" s="4">
        <f>J2*AD2</f>
        <v>1.8726591760299627</v>
      </c>
      <c r="L2" s="4">
        <v>200</v>
      </c>
      <c r="M2" s="4">
        <f>L2*AD2</f>
        <v>37.453183520599254</v>
      </c>
      <c r="O2" s="4">
        <f>N2*AD2</f>
        <v>0</v>
      </c>
      <c r="Q2" s="4">
        <f>P2*AD2</f>
        <v>0</v>
      </c>
      <c r="Y2" s="4" t="s">
        <v>119</v>
      </c>
      <c r="AB2" s="4" t="s">
        <v>287</v>
      </c>
      <c r="AC2" s="4">
        <f>B2+D2+F2+H2+J2+L2+N2+P2</f>
        <v>566</v>
      </c>
      <c r="AD2" s="4">
        <f>1/5.34</f>
        <v>0.18726591760299627</v>
      </c>
      <c r="AE2" s="24">
        <f>AC2*AD2</f>
        <v>105.99250936329588</v>
      </c>
      <c r="AG2" s="4">
        <v>14</v>
      </c>
      <c r="AI2" s="4" t="s">
        <v>121</v>
      </c>
      <c r="AJ2" s="4">
        <f>SUM($AE$2:$AE$994)</f>
        <v>3015.837212078651</v>
      </c>
      <c r="AL2" s="4" t="s">
        <v>122</v>
      </c>
      <c r="AM2" s="28">
        <f>$AJ$2/$AJ$5</f>
        <v>97.28507135737584</v>
      </c>
      <c r="AO2" s="4" t="s">
        <v>123</v>
      </c>
      <c r="AP2" s="4">
        <f>COUNTBLANK(L2:L40)-COUNTBLANK(A2:A40)</f>
        <v>1</v>
      </c>
      <c r="AQ2" s="29"/>
      <c r="AR2" s="29"/>
      <c r="AS2" s="29"/>
      <c r="AT2" s="29"/>
      <c r="AU2" s="29"/>
      <c r="AV2" s="29"/>
      <c r="AW2" s="29"/>
      <c r="AX2" s="29" t="s">
        <v>243</v>
      </c>
      <c r="AY2" s="29">
        <f>SUMIF($AG$2:$AG$44,"=14",$AE$2:$AE$44)</f>
        <v>3015.837212078651</v>
      </c>
      <c r="AZ2" s="29"/>
      <c r="BB2" s="5"/>
      <c r="BC2" s="5"/>
    </row>
    <row r="3" spans="1:55" ht="14.25">
      <c r="A3" s="27">
        <v>43010</v>
      </c>
      <c r="C3" s="4">
        <f>B3*AD3</f>
        <v>0</v>
      </c>
      <c r="E3" s="4">
        <f>D3*AD3</f>
        <v>0</v>
      </c>
      <c r="G3" s="4">
        <f>F3*AD3</f>
        <v>0</v>
      </c>
      <c r="I3" s="4">
        <f>H3*AD3</f>
        <v>0</v>
      </c>
      <c r="K3" s="4">
        <f>J3*AD3</f>
        <v>0</v>
      </c>
      <c r="L3" s="4">
        <v>200</v>
      </c>
      <c r="M3" s="4">
        <f>L3*AD3</f>
        <v>37.453183520599254</v>
      </c>
      <c r="O3" s="4">
        <f>N3*AD3</f>
        <v>0</v>
      </c>
      <c r="Q3" s="4">
        <f>P3*AD3</f>
        <v>0</v>
      </c>
      <c r="Y3" s="4" t="s">
        <v>119</v>
      </c>
      <c r="AB3" s="4" t="s">
        <v>287</v>
      </c>
      <c r="AC3" s="4">
        <f>B3+D3+F3+H3+J3+L3+N3+P3</f>
        <v>200</v>
      </c>
      <c r="AD3" s="4">
        <f>1/5.34</f>
        <v>0.18726591760299627</v>
      </c>
      <c r="AE3" s="24">
        <f>AC3*AD3</f>
        <v>37.453183520599254</v>
      </c>
      <c r="AG3" s="4">
        <v>14</v>
      </c>
      <c r="AI3" s="30"/>
      <c r="AL3" s="30"/>
      <c r="AM3" s="28"/>
      <c r="AO3" s="4" t="s">
        <v>126</v>
      </c>
      <c r="AP3" s="4">
        <f>COUNT(L2:L36)</f>
        <v>30</v>
      </c>
      <c r="AR3" s="29"/>
      <c r="AS3" s="29"/>
      <c r="AT3" s="29"/>
      <c r="AU3" s="29"/>
      <c r="AV3" s="29"/>
      <c r="AW3" s="29"/>
      <c r="AX3" s="29" t="s">
        <v>244</v>
      </c>
      <c r="AY3" s="29">
        <f>_xlfn.COUNTIFS($A$2:$A$44,"&lt;&gt;''",$AG$2:$AG$44,"=14")</f>
        <v>31</v>
      </c>
      <c r="AZ3" s="29"/>
      <c r="BB3" s="5"/>
      <c r="BC3" s="5"/>
    </row>
    <row r="4" spans="1:55" ht="14.25">
      <c r="A4" s="27">
        <v>43011</v>
      </c>
      <c r="C4" s="4">
        <f>B4*AD4</f>
        <v>0</v>
      </c>
      <c r="D4" s="4">
        <v>43</v>
      </c>
      <c r="E4" s="4">
        <f>D4*AD4</f>
        <v>8.05243445692884</v>
      </c>
      <c r="F4" s="4">
        <v>100</v>
      </c>
      <c r="G4" s="4">
        <f>F4*AD4</f>
        <v>18.726591760299627</v>
      </c>
      <c r="I4" s="4">
        <f>H4*AD4</f>
        <v>0</v>
      </c>
      <c r="J4" s="4">
        <v>10</v>
      </c>
      <c r="K4" s="4">
        <f>J4*AD4</f>
        <v>1.8726591760299627</v>
      </c>
      <c r="M4" s="4">
        <f>L4*AD4</f>
        <v>0</v>
      </c>
      <c r="O4" s="4">
        <f>N4*AD4</f>
        <v>0</v>
      </c>
      <c r="Q4" s="4">
        <f>P4*AD4</f>
        <v>0</v>
      </c>
      <c r="Z4" s="4" t="s">
        <v>119</v>
      </c>
      <c r="AB4" s="4" t="s">
        <v>288</v>
      </c>
      <c r="AC4" s="4">
        <f>B4+D4+F4+H4+J4+L4+N4+P4</f>
        <v>153</v>
      </c>
      <c r="AD4" s="4">
        <f>1/5.34</f>
        <v>0.18726591760299627</v>
      </c>
      <c r="AE4" s="24">
        <f>AC4*AD4</f>
        <v>28.65168539325843</v>
      </c>
      <c r="AG4" s="4">
        <v>14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/>
      <c r="AW4" s="29"/>
      <c r="AX4" s="29" t="s">
        <v>246</v>
      </c>
      <c r="AY4" s="29">
        <f>AY2/AY3</f>
        <v>97.28507135737584</v>
      </c>
      <c r="AZ4" s="29"/>
      <c r="BB4" s="5"/>
      <c r="BC4" s="5"/>
    </row>
    <row r="5" spans="1:42" ht="14.25">
      <c r="A5" s="27">
        <v>43012</v>
      </c>
      <c r="B5" s="4">
        <f>5*2</f>
        <v>10</v>
      </c>
      <c r="C5" s="4">
        <f>B5*AD5</f>
        <v>1.8726591760299627</v>
      </c>
      <c r="D5" s="4">
        <v>171</v>
      </c>
      <c r="E5" s="4">
        <f>D5*AD5</f>
        <v>32.02247191011236</v>
      </c>
      <c r="G5" s="4">
        <f>F5*AD5</f>
        <v>0</v>
      </c>
      <c r="I5" s="4">
        <f>H5*AD5</f>
        <v>0</v>
      </c>
      <c r="K5" s="4">
        <f>J5*AD5</f>
        <v>0</v>
      </c>
      <c r="L5" s="4">
        <v>257</v>
      </c>
      <c r="M5" s="4">
        <f>L5*AD5</f>
        <v>48.127340823970044</v>
      </c>
      <c r="O5" s="4">
        <f>N5*AD5</f>
        <v>0</v>
      </c>
      <c r="Q5" s="4">
        <f>P5*AD5</f>
        <v>0</v>
      </c>
      <c r="Y5" s="4" t="s">
        <v>119</v>
      </c>
      <c r="AB5" s="4" t="s">
        <v>289</v>
      </c>
      <c r="AC5" s="4">
        <f>B5+D5+F5+H5+J5+L5+N5+P5</f>
        <v>438</v>
      </c>
      <c r="AD5" s="4">
        <f>1/5.34</f>
        <v>0.18726591760299627</v>
      </c>
      <c r="AE5" s="24">
        <f>AC5*AD5</f>
        <v>82.02247191011236</v>
      </c>
      <c r="AG5" s="4">
        <v>14</v>
      </c>
      <c r="AI5" s="4" t="s">
        <v>134</v>
      </c>
      <c r="AJ5" s="4">
        <f>COUNTA(A2:A349)</f>
        <v>31</v>
      </c>
      <c r="AO5" s="4" t="s">
        <v>135</v>
      </c>
      <c r="AP5" s="4">
        <f>COUNTA(R2:R49)</f>
        <v>0</v>
      </c>
    </row>
    <row r="6" spans="1:42" ht="14.25">
      <c r="A6" s="27">
        <v>43013</v>
      </c>
      <c r="C6" s="4">
        <f>B6*AD6</f>
        <v>0</v>
      </c>
      <c r="D6" s="4">
        <f>65+67</f>
        <v>132</v>
      </c>
      <c r="E6" s="4">
        <f>D6*AD6</f>
        <v>24.719101123595507</v>
      </c>
      <c r="G6" s="4">
        <f>F6*AD6</f>
        <v>0</v>
      </c>
      <c r="I6" s="4">
        <f>H6*AD6</f>
        <v>0</v>
      </c>
      <c r="K6" s="4">
        <f>J6*AD6</f>
        <v>0</v>
      </c>
      <c r="L6" s="4">
        <v>257</v>
      </c>
      <c r="M6" s="4">
        <f>L6*AD6</f>
        <v>48.127340823970044</v>
      </c>
      <c r="O6" s="4">
        <f>N6*AD6</f>
        <v>0</v>
      </c>
      <c r="Q6" s="4">
        <f>P6*AD6</f>
        <v>0</v>
      </c>
      <c r="Y6" s="4" t="s">
        <v>119</v>
      </c>
      <c r="AB6" s="4" t="s">
        <v>289</v>
      </c>
      <c r="AC6" s="4">
        <f>B6+D6+F6+H6+J6+L6+N6+P6</f>
        <v>389</v>
      </c>
      <c r="AD6" s="4">
        <f>1/5.34</f>
        <v>0.18726591760299627</v>
      </c>
      <c r="AE6" s="24">
        <f>AC6*AD6</f>
        <v>72.84644194756555</v>
      </c>
      <c r="AG6" s="4">
        <v>14</v>
      </c>
      <c r="AI6" s="30"/>
      <c r="AO6" s="4" t="s">
        <v>136</v>
      </c>
      <c r="AP6" s="4">
        <f>COUNTA(T2:T49)</f>
        <v>0</v>
      </c>
    </row>
    <row r="7" spans="1:42" ht="14.25">
      <c r="A7" s="27">
        <v>43014</v>
      </c>
      <c r="B7" s="4">
        <f>5*6+7*2</f>
        <v>44</v>
      </c>
      <c r="C7" s="4">
        <f>B7*AD7</f>
        <v>8.239700374531836</v>
      </c>
      <c r="D7" s="4">
        <v>68</v>
      </c>
      <c r="E7" s="4">
        <f>D7*AD7</f>
        <v>12.734082397003746</v>
      </c>
      <c r="F7" s="4">
        <f>8*3</f>
        <v>24</v>
      </c>
      <c r="G7" s="4">
        <f>F7*AD7</f>
        <v>4.49438202247191</v>
      </c>
      <c r="I7" s="4">
        <f>H7*AD7</f>
        <v>0</v>
      </c>
      <c r="J7" s="4">
        <v>100</v>
      </c>
      <c r="K7" s="4">
        <f>J7*AD7</f>
        <v>18.726591760299627</v>
      </c>
      <c r="L7" s="4">
        <v>257</v>
      </c>
      <c r="M7" s="4">
        <f>L7*AD7</f>
        <v>48.127340823970044</v>
      </c>
      <c r="O7" s="4">
        <f>N7*AD7</f>
        <v>0</v>
      </c>
      <c r="Q7" s="4">
        <f>P7*AD7</f>
        <v>0</v>
      </c>
      <c r="Y7" s="4" t="s">
        <v>119</v>
      </c>
      <c r="AB7" s="4" t="s">
        <v>289</v>
      </c>
      <c r="AC7" s="4">
        <f>B7+D7+F7+H7+J7+L7+N7+P7</f>
        <v>493</v>
      </c>
      <c r="AD7" s="4">
        <f>1/5.34</f>
        <v>0.18726591760299627</v>
      </c>
      <c r="AE7" s="24">
        <f>AC7*AD7</f>
        <v>92.32209737827716</v>
      </c>
      <c r="AG7" s="4">
        <v>14</v>
      </c>
      <c r="AL7" s="4" t="s">
        <v>138</v>
      </c>
      <c r="AO7" s="4" t="s">
        <v>109</v>
      </c>
      <c r="AP7" s="4">
        <f>COUNTA(U2:U49)</f>
        <v>0</v>
      </c>
    </row>
    <row r="8" spans="1:42" ht="14.25">
      <c r="A8" s="27">
        <v>43015</v>
      </c>
      <c r="B8" s="4">
        <v>10</v>
      </c>
      <c r="C8" s="4">
        <f>B8*AD8</f>
        <v>1.8726591760299627</v>
      </c>
      <c r="D8" s="4">
        <v>136</v>
      </c>
      <c r="E8" s="4">
        <f>D8*AD8</f>
        <v>25.468164794007492</v>
      </c>
      <c r="G8" s="4">
        <f>F8*AD8</f>
        <v>0</v>
      </c>
      <c r="I8" s="4">
        <f>H8*AD8</f>
        <v>0</v>
      </c>
      <c r="J8" s="4">
        <v>24</v>
      </c>
      <c r="K8" s="4">
        <f>J8*AD8</f>
        <v>4.49438202247191</v>
      </c>
      <c r="L8" s="4">
        <v>257</v>
      </c>
      <c r="M8" s="4">
        <f>L8*AD8</f>
        <v>48.127340823970044</v>
      </c>
      <c r="O8" s="4">
        <f>N8*AD8</f>
        <v>0</v>
      </c>
      <c r="Q8" s="4">
        <f>P8*AD8</f>
        <v>0</v>
      </c>
      <c r="Y8" s="4" t="s">
        <v>119</v>
      </c>
      <c r="AB8" s="4" t="s">
        <v>289</v>
      </c>
      <c r="AC8" s="4">
        <f>B8+D8+F8+H8+J8+L8+N8+P8</f>
        <v>427</v>
      </c>
      <c r="AD8" s="4">
        <f>1/5.34</f>
        <v>0.18726591760299627</v>
      </c>
      <c r="AE8" s="24">
        <f>AC8*AD8</f>
        <v>79.9625468164794</v>
      </c>
      <c r="AG8" s="4">
        <v>14</v>
      </c>
      <c r="AI8" s="4" t="s">
        <v>140</v>
      </c>
      <c r="AJ8" s="26">
        <f>SUM(M2:M994)</f>
        <v>1279.6629494382025</v>
      </c>
      <c r="AL8" s="4" t="s">
        <v>103</v>
      </c>
      <c r="AM8" s="26">
        <f>AJ8/$AJ$5</f>
        <v>41.2794499818775</v>
      </c>
      <c r="AO8" s="4" t="s">
        <v>141</v>
      </c>
      <c r="AP8" s="4">
        <f>COUNTA(S2:S49)</f>
        <v>0</v>
      </c>
    </row>
    <row r="9" spans="1:42" ht="14.25">
      <c r="A9" s="27">
        <v>43016</v>
      </c>
      <c r="B9" s="1">
        <f>5*8+7*2</f>
        <v>54</v>
      </c>
      <c r="C9" s="4">
        <f>B9*AD9</f>
        <v>10.112359550561798</v>
      </c>
      <c r="D9" s="4">
        <v>152.5</v>
      </c>
      <c r="E9" s="4">
        <f>D9*AD9</f>
        <v>28.558052434456933</v>
      </c>
      <c r="G9" s="4">
        <f>F9*AD9</f>
        <v>0</v>
      </c>
      <c r="I9" s="4">
        <f>H9*AD9</f>
        <v>0</v>
      </c>
      <c r="J9" s="4">
        <v>25</v>
      </c>
      <c r="K9" s="4">
        <f>J9*AD9</f>
        <v>4.681647940074907</v>
      </c>
      <c r="L9" s="4">
        <v>257</v>
      </c>
      <c r="M9" s="4">
        <f>L9*AD9</f>
        <v>48.127340823970044</v>
      </c>
      <c r="O9" s="4">
        <f>N9*AD9</f>
        <v>0</v>
      </c>
      <c r="Q9" s="4">
        <f>P9*AD9</f>
        <v>0</v>
      </c>
      <c r="Y9" s="4" t="s">
        <v>119</v>
      </c>
      <c r="AB9" s="4" t="s">
        <v>289</v>
      </c>
      <c r="AC9" s="4">
        <f>B9+D9+F9+H9+J9+L9+N9+P9</f>
        <v>488.5</v>
      </c>
      <c r="AD9" s="4">
        <f>1/5.34</f>
        <v>0.18726591760299627</v>
      </c>
      <c r="AE9" s="24">
        <f>AC9*AD9</f>
        <v>91.47940074906367</v>
      </c>
      <c r="AG9" s="4">
        <v>14</v>
      </c>
      <c r="AI9" s="4" t="s">
        <v>143</v>
      </c>
      <c r="AJ9" s="26">
        <f>SUM(C2:C994)</f>
        <v>463.4329073033708</v>
      </c>
      <c r="AL9" s="4" t="s">
        <v>93</v>
      </c>
      <c r="AM9" s="4">
        <f>AJ9/$AJ$5</f>
        <v>14.949448622689381</v>
      </c>
      <c r="AO9" s="4" t="s">
        <v>110</v>
      </c>
      <c r="AP9" s="4">
        <f>COUNTA(V2:V50)</f>
        <v>0</v>
      </c>
    </row>
    <row r="10" spans="1:42" ht="14.25">
      <c r="A10" s="27">
        <v>43017</v>
      </c>
      <c r="B10" s="4">
        <f>6*2</f>
        <v>12</v>
      </c>
      <c r="C10" s="4">
        <f>B10*AD10</f>
        <v>2.247191011235955</v>
      </c>
      <c r="D10" s="4">
        <f>91+65+142</f>
        <v>298</v>
      </c>
      <c r="E10" s="4">
        <f>D10*AD10</f>
        <v>55.80524344569289</v>
      </c>
      <c r="G10" s="4">
        <f>F10*AD10</f>
        <v>0</v>
      </c>
      <c r="I10" s="4">
        <f>H10*AD10</f>
        <v>0</v>
      </c>
      <c r="K10" s="4">
        <f>J10*AD10</f>
        <v>0</v>
      </c>
      <c r="L10" s="4">
        <v>191</v>
      </c>
      <c r="M10" s="4">
        <f>L10*AD10</f>
        <v>35.767790262172284</v>
      </c>
      <c r="O10" s="4">
        <f>N10*AD10</f>
        <v>0</v>
      </c>
      <c r="Q10" s="4">
        <f>P10*AD10</f>
        <v>0</v>
      </c>
      <c r="Y10" s="4" t="s">
        <v>119</v>
      </c>
      <c r="AB10" s="4" t="s">
        <v>289</v>
      </c>
      <c r="AC10" s="4">
        <f>B10+D10+F10+H10+J10+L10+N10+P10</f>
        <v>501</v>
      </c>
      <c r="AD10" s="4">
        <f>1/5.34</f>
        <v>0.18726591760299627</v>
      </c>
      <c r="AE10" s="24">
        <f>AC10*AD10</f>
        <v>93.82022471910113</v>
      </c>
      <c r="AG10" s="4">
        <v>14</v>
      </c>
      <c r="AI10" s="4" t="s">
        <v>145</v>
      </c>
      <c r="AJ10" s="26">
        <f>SUM(E2:E994)</f>
        <v>673.7362897940076</v>
      </c>
      <c r="AL10" s="4" t="s">
        <v>250</v>
      </c>
      <c r="AM10" s="4">
        <f>AJ10/$AJ$5</f>
        <v>21.7334287030325</v>
      </c>
      <c r="AO10" s="4" t="s">
        <v>184</v>
      </c>
      <c r="AP10" s="4">
        <f>COUNTA(Y2:Y51)</f>
        <v>30</v>
      </c>
    </row>
    <row r="11" spans="1:39" ht="14.25">
      <c r="A11" s="27">
        <v>43018</v>
      </c>
      <c r="C11" s="4">
        <f>B11*AD11</f>
        <v>0</v>
      </c>
      <c r="D11" s="4">
        <f>60</f>
        <v>60</v>
      </c>
      <c r="E11" s="4">
        <f>D11*AD11</f>
        <v>11.235955056179776</v>
      </c>
      <c r="G11" s="4">
        <f>F11*AD11</f>
        <v>0</v>
      </c>
      <c r="I11" s="4">
        <f>H11*AD11</f>
        <v>0</v>
      </c>
      <c r="J11" s="4">
        <f>900+5</f>
        <v>905</v>
      </c>
      <c r="K11" s="4">
        <f>J11*AD11</f>
        <v>169.4756554307116</v>
      </c>
      <c r="L11" s="4">
        <v>191</v>
      </c>
      <c r="M11" s="4">
        <f>L11*AD11</f>
        <v>35.767790262172284</v>
      </c>
      <c r="O11" s="4">
        <f>N11*AD11</f>
        <v>0</v>
      </c>
      <c r="Q11" s="4">
        <f>P11*AD11</f>
        <v>0</v>
      </c>
      <c r="Y11" s="4" t="s">
        <v>119</v>
      </c>
      <c r="AB11" s="33" t="s">
        <v>289</v>
      </c>
      <c r="AC11" s="4">
        <f>B11+D11+F11+H11+J11+L11+N11+P11</f>
        <v>1156</v>
      </c>
      <c r="AD11" s="4">
        <f>1/5.34</f>
        <v>0.18726591760299627</v>
      </c>
      <c r="AE11" s="24">
        <f>AC11*AD11</f>
        <v>216.4794007490637</v>
      </c>
      <c r="AG11" s="4">
        <v>14</v>
      </c>
      <c r="AI11" s="4" t="s">
        <v>149</v>
      </c>
      <c r="AJ11" s="26">
        <f>SUM(G2:G994)</f>
        <v>184.51006554307116</v>
      </c>
      <c r="AL11" s="4" t="s">
        <v>150</v>
      </c>
      <c r="AM11" s="26">
        <f>AJ11/$AJ$5</f>
        <v>5.951937598163586</v>
      </c>
    </row>
    <row r="12" spans="1:39" ht="14.25">
      <c r="A12" s="27">
        <v>43019</v>
      </c>
      <c r="B12" s="4">
        <v>50</v>
      </c>
      <c r="C12" s="4">
        <f>B12*AD12</f>
        <v>9.363295880149813</v>
      </c>
      <c r="D12" s="4">
        <v>118</v>
      </c>
      <c r="E12" s="4">
        <f>D12*AD12</f>
        <v>22.09737827715356</v>
      </c>
      <c r="G12" s="4">
        <f>F12*AD12</f>
        <v>0</v>
      </c>
      <c r="I12" s="4">
        <f>H12*AD12</f>
        <v>0</v>
      </c>
      <c r="J12" s="4">
        <v>35</v>
      </c>
      <c r="K12" s="4">
        <f>J12*AD12</f>
        <v>6.554307116104869</v>
      </c>
      <c r="L12" s="4">
        <v>191</v>
      </c>
      <c r="M12" s="4">
        <f>L12*AD12</f>
        <v>35.767790262172284</v>
      </c>
      <c r="O12" s="4">
        <f>N12*AD12</f>
        <v>0</v>
      </c>
      <c r="Q12" s="4">
        <f>P12*AD12</f>
        <v>0</v>
      </c>
      <c r="Y12" s="4" t="s">
        <v>119</v>
      </c>
      <c r="AB12" s="33" t="s">
        <v>289</v>
      </c>
      <c r="AC12" s="4">
        <f>B12+D12+F12+H12+J12+L12+N12+P12</f>
        <v>394</v>
      </c>
      <c r="AD12" s="4">
        <f>1/5.34</f>
        <v>0.18726591760299627</v>
      </c>
      <c r="AE12" s="24">
        <f>AC12*AD12</f>
        <v>73.78277153558054</v>
      </c>
      <c r="AG12" s="4">
        <v>14</v>
      </c>
      <c r="AI12" s="4" t="s">
        <v>151</v>
      </c>
      <c r="AJ12" s="26">
        <f>SUM(K2:K994)</f>
        <v>283.9214840823971</v>
      </c>
      <c r="AL12" s="4" t="s">
        <v>101</v>
      </c>
      <c r="AM12" s="26">
        <f>AJ12/$AJ$5</f>
        <v>9.158757551045069</v>
      </c>
    </row>
    <row r="13" spans="1:39" ht="14.25">
      <c r="A13" s="27">
        <v>43020</v>
      </c>
      <c r="B13" s="1">
        <f>50*4</f>
        <v>200</v>
      </c>
      <c r="C13" s="4">
        <f>B13*AD13</f>
        <v>37.453183520599254</v>
      </c>
      <c r="D13" s="4">
        <v>66</v>
      </c>
      <c r="E13" s="4">
        <f>D13*AD13</f>
        <v>12.359550561797754</v>
      </c>
      <c r="G13" s="4">
        <f>F13*AD13</f>
        <v>0</v>
      </c>
      <c r="H13" s="4">
        <v>140</v>
      </c>
      <c r="I13" s="4">
        <f>H13*AD13</f>
        <v>26.217228464419478</v>
      </c>
      <c r="J13" s="4">
        <v>264</v>
      </c>
      <c r="K13" s="4">
        <f>J13*AD13</f>
        <v>49.438202247191015</v>
      </c>
      <c r="L13" s="4">
        <v>191</v>
      </c>
      <c r="M13" s="4">
        <f>L13*AD13</f>
        <v>35.767790262172284</v>
      </c>
      <c r="O13" s="4">
        <f>N13*AD13</f>
        <v>0</v>
      </c>
      <c r="Q13" s="4">
        <f>P13*AD13</f>
        <v>0</v>
      </c>
      <c r="Y13" s="4" t="s">
        <v>119</v>
      </c>
      <c r="AB13" s="33" t="s">
        <v>289</v>
      </c>
      <c r="AC13" s="4">
        <f>B13+D13+F13+H13+J13+L13+N13+P13</f>
        <v>861</v>
      </c>
      <c r="AD13" s="4">
        <f>1/5.34</f>
        <v>0.18726591760299627</v>
      </c>
      <c r="AE13" s="24">
        <f>AC13*AD13</f>
        <v>161.2359550561798</v>
      </c>
      <c r="AG13" s="4">
        <v>14</v>
      </c>
      <c r="AI13" s="4" t="s">
        <v>153</v>
      </c>
      <c r="AJ13" s="4">
        <f>SUM(I2:I994)</f>
        <v>130.573515917603</v>
      </c>
      <c r="AL13" s="4" t="s">
        <v>99</v>
      </c>
      <c r="AM13" s="26">
        <f>AJ13/$AJ$5</f>
        <v>4.212048900567839</v>
      </c>
    </row>
    <row r="14" spans="1:36" ht="14.25">
      <c r="A14" s="27">
        <v>43021</v>
      </c>
      <c r="C14" s="4">
        <f>B14*AD14</f>
        <v>0</v>
      </c>
      <c r="D14" s="4">
        <v>142</v>
      </c>
      <c r="E14" s="4">
        <f>D14*AD14</f>
        <v>26.59176029962547</v>
      </c>
      <c r="G14" s="4">
        <f>F14*AD14</f>
        <v>0</v>
      </c>
      <c r="I14" s="4">
        <f>H14*AD14</f>
        <v>0</v>
      </c>
      <c r="K14" s="4">
        <f>J14*AD14</f>
        <v>0</v>
      </c>
      <c r="L14" s="4">
        <v>200</v>
      </c>
      <c r="M14" s="4">
        <f>L14*AD14</f>
        <v>37.453183520599254</v>
      </c>
      <c r="O14" s="4">
        <f>N14*AD14</f>
        <v>0</v>
      </c>
      <c r="Q14" s="4">
        <f>P14*AD14</f>
        <v>0</v>
      </c>
      <c r="Y14" s="4" t="s">
        <v>119</v>
      </c>
      <c r="AB14" s="33" t="s">
        <v>289</v>
      </c>
      <c r="AC14" s="4">
        <f>B14+D14+F14+H14+J14+L14+N14+P14</f>
        <v>342</v>
      </c>
      <c r="AD14" s="4">
        <f>1/5.34</f>
        <v>0.18726591760299627</v>
      </c>
      <c r="AE14" s="24">
        <f>AC14*AD14</f>
        <v>64.04494382022472</v>
      </c>
      <c r="AG14" s="4">
        <v>14</v>
      </c>
      <c r="AI14" s="4" t="s">
        <v>163</v>
      </c>
      <c r="AJ14" s="26">
        <f>SUM(O2:O994)</f>
        <v>0</v>
      </c>
    </row>
    <row r="15" spans="1:36" ht="14.25">
      <c r="A15" s="27">
        <v>43022</v>
      </c>
      <c r="B15" s="4">
        <f>50</f>
        <v>50</v>
      </c>
      <c r="C15" s="4">
        <f>B15*AD15</f>
        <v>9.363295880149813</v>
      </c>
      <c r="D15" s="4">
        <v>202</v>
      </c>
      <c r="E15" s="4">
        <f>D15*AD15</f>
        <v>37.827715355805246</v>
      </c>
      <c r="G15" s="4">
        <f>F15*AD15</f>
        <v>0</v>
      </c>
      <c r="I15" s="4">
        <f>H15*AD15</f>
        <v>0</v>
      </c>
      <c r="J15" s="4">
        <v>50</v>
      </c>
      <c r="K15" s="4">
        <f>J15*AD15</f>
        <v>9.363295880149813</v>
      </c>
      <c r="L15" s="4">
        <v>200</v>
      </c>
      <c r="M15" s="4">
        <f>L15*AD15</f>
        <v>37.453183520599254</v>
      </c>
      <c r="O15" s="4">
        <f>N15*AD15</f>
        <v>0</v>
      </c>
      <c r="Q15" s="4">
        <f>P15*AD15</f>
        <v>0</v>
      </c>
      <c r="Y15" s="4" t="s">
        <v>119</v>
      </c>
      <c r="AB15" s="33" t="s">
        <v>289</v>
      </c>
      <c r="AC15" s="4">
        <f>B15+D15+F15+H15+J15+L15+N15+P15</f>
        <v>502</v>
      </c>
      <c r="AD15" s="4">
        <f>1/5.34</f>
        <v>0.18726591760299627</v>
      </c>
      <c r="AE15" s="24">
        <f>AC15*AD15</f>
        <v>94.00749063670412</v>
      </c>
      <c r="AG15" s="4">
        <v>14</v>
      </c>
      <c r="AI15" s="4" t="s">
        <v>194</v>
      </c>
      <c r="AJ15" s="4">
        <f>SUM(Q2:Q60)</f>
        <v>0</v>
      </c>
    </row>
    <row r="16" spans="1:35" ht="14.25">
      <c r="A16" s="2">
        <v>43023</v>
      </c>
      <c r="C16" s="4">
        <f>B16*AD16</f>
        <v>0</v>
      </c>
      <c r="D16" s="4">
        <v>60</v>
      </c>
      <c r="E16" s="4">
        <f>D16*AD16</f>
        <v>11.235955056179776</v>
      </c>
      <c r="G16" s="4">
        <f>F16*AD16</f>
        <v>0</v>
      </c>
      <c r="H16" s="4">
        <f>39*2</f>
        <v>78</v>
      </c>
      <c r="I16" s="4">
        <f>H16*AD16</f>
        <v>14.606741573033709</v>
      </c>
      <c r="K16" s="4">
        <f>J16*AD16</f>
        <v>0</v>
      </c>
      <c r="L16" s="4">
        <v>200</v>
      </c>
      <c r="M16" s="4">
        <f>L16*AD16</f>
        <v>37.453183520599254</v>
      </c>
      <c r="O16" s="4">
        <f>N16*AD16</f>
        <v>0</v>
      </c>
      <c r="Q16" s="4">
        <f>P16*AD16</f>
        <v>0</v>
      </c>
      <c r="Y16" s="4" t="s">
        <v>119</v>
      </c>
      <c r="AB16" s="33" t="s">
        <v>289</v>
      </c>
      <c r="AC16" s="4">
        <f>B16+D16+F16+H16+J16+L16+N16+P16</f>
        <v>338</v>
      </c>
      <c r="AD16" s="4">
        <f>1/5.34</f>
        <v>0.18726591760299627</v>
      </c>
      <c r="AE16" s="24">
        <f>AC16*AD16</f>
        <v>63.29588014981274</v>
      </c>
      <c r="AG16" s="4">
        <v>14</v>
      </c>
      <c r="AI16" s="30"/>
    </row>
    <row r="17" spans="1:44" ht="14.25">
      <c r="A17" s="27">
        <v>43024</v>
      </c>
      <c r="C17" s="4">
        <f>B17*AD17</f>
        <v>0</v>
      </c>
      <c r="D17" s="4">
        <v>210</v>
      </c>
      <c r="E17" s="4">
        <f>D17*AD17</f>
        <v>37.3625</v>
      </c>
      <c r="G17" s="4">
        <f>F17*AD17</f>
        <v>0</v>
      </c>
      <c r="I17" s="4">
        <f>H17*AD17</f>
        <v>0</v>
      </c>
      <c r="K17" s="4">
        <f>J17*AD17</f>
        <v>0</v>
      </c>
      <c r="L17" s="4">
        <v>200</v>
      </c>
      <c r="M17" s="4">
        <f>L17*AD17</f>
        <v>35.583333333333336</v>
      </c>
      <c r="O17" s="4">
        <f>N17*AD17</f>
        <v>0</v>
      </c>
      <c r="Q17" s="4">
        <f>P17*AD17</f>
        <v>0</v>
      </c>
      <c r="Y17" s="4" t="s">
        <v>119</v>
      </c>
      <c r="AB17" s="33" t="s">
        <v>289</v>
      </c>
      <c r="AC17" s="4">
        <f>B17+D17+F17+H17+J17+L17+N17+P17</f>
        <v>410</v>
      </c>
      <c r="AD17" s="4">
        <f>1067.5/6000</f>
        <v>0.17791666666666667</v>
      </c>
      <c r="AE17" s="24">
        <f>AC17*AD17</f>
        <v>72.94583333333334</v>
      </c>
      <c r="AG17" s="4">
        <v>14</v>
      </c>
      <c r="AR17" s="25"/>
    </row>
    <row r="18" spans="1:44" ht="14.25">
      <c r="A18" s="27">
        <v>43025</v>
      </c>
      <c r="C18" s="4">
        <f>B18*AD18</f>
        <v>0</v>
      </c>
      <c r="D18" s="4">
        <v>60</v>
      </c>
      <c r="E18" s="4">
        <f>D18*AD18</f>
        <v>10.675</v>
      </c>
      <c r="G18" s="4">
        <f>F18*AD18</f>
        <v>0</v>
      </c>
      <c r="H18" s="4">
        <f>40+40+15</f>
        <v>95</v>
      </c>
      <c r="I18" s="4">
        <f>H18*AD18</f>
        <v>16.902083333333334</v>
      </c>
      <c r="K18" s="4">
        <f>J18*AD18</f>
        <v>0</v>
      </c>
      <c r="L18" s="4">
        <v>200</v>
      </c>
      <c r="M18" s="4">
        <f>L18*AD18</f>
        <v>35.583333333333336</v>
      </c>
      <c r="O18" s="4">
        <f>N18*AD18</f>
        <v>0</v>
      </c>
      <c r="Q18" s="4">
        <f>P18*AD18</f>
        <v>0</v>
      </c>
      <c r="Y18" s="4" t="s">
        <v>119</v>
      </c>
      <c r="AB18" s="33" t="s">
        <v>289</v>
      </c>
      <c r="AC18" s="4">
        <f>B18+D18+F18+H18+J18+L18+N18+P18</f>
        <v>355</v>
      </c>
      <c r="AD18" s="4">
        <f>1067.5/6000</f>
        <v>0.17791666666666667</v>
      </c>
      <c r="AE18" s="24">
        <f>AC18*AD18</f>
        <v>63.16041666666667</v>
      </c>
      <c r="AG18" s="4">
        <v>14</v>
      </c>
      <c r="AI18" s="4" t="s">
        <v>256</v>
      </c>
      <c r="AJ18" s="4">
        <f>SUM(AA2:AA50)</f>
        <v>0</v>
      </c>
      <c r="AR18" s="25"/>
    </row>
    <row r="19" spans="1:33" ht="14.25">
      <c r="A19" s="27">
        <v>43026</v>
      </c>
      <c r="C19" s="4">
        <f>B19*AD19</f>
        <v>0</v>
      </c>
      <c r="D19" s="4">
        <v>265</v>
      </c>
      <c r="E19" s="4">
        <f>D19*AD19</f>
        <v>47.14791666666667</v>
      </c>
      <c r="G19" s="4">
        <f>F19*AD19</f>
        <v>0</v>
      </c>
      <c r="H19" s="4">
        <f>27*2</f>
        <v>54</v>
      </c>
      <c r="I19" s="4">
        <f>H19*AD19</f>
        <v>9.6075</v>
      </c>
      <c r="K19" s="4">
        <f>J19*AD19</f>
        <v>0</v>
      </c>
      <c r="L19" s="4">
        <v>200</v>
      </c>
      <c r="M19" s="4">
        <f>L19*AD19</f>
        <v>35.583333333333336</v>
      </c>
      <c r="O19" s="4">
        <f>N19*AD19</f>
        <v>0</v>
      </c>
      <c r="Q19" s="4">
        <f>P19*AD19</f>
        <v>0</v>
      </c>
      <c r="Y19" s="4" t="s">
        <v>119</v>
      </c>
      <c r="AB19" s="33" t="s">
        <v>289</v>
      </c>
      <c r="AC19" s="4">
        <f>B19+D19+F19+H19+J19+L19+N19+P19</f>
        <v>519</v>
      </c>
      <c r="AD19" s="4">
        <f>1067.5/6000</f>
        <v>0.17791666666666667</v>
      </c>
      <c r="AE19" s="24">
        <f>AC19*AD19</f>
        <v>92.33875</v>
      </c>
      <c r="AG19" s="4">
        <v>14</v>
      </c>
    </row>
    <row r="20" spans="1:33" ht="14.25">
      <c r="A20" s="27">
        <v>43027</v>
      </c>
      <c r="C20" s="4">
        <f>B20*AD20</f>
        <v>0</v>
      </c>
      <c r="D20" s="4">
        <v>80</v>
      </c>
      <c r="E20" s="4">
        <f>D20*AD20</f>
        <v>14.233333333333334</v>
      </c>
      <c r="F20" s="4">
        <v>20</v>
      </c>
      <c r="G20" s="4">
        <f>F20*AD20</f>
        <v>3.5583333333333336</v>
      </c>
      <c r="I20" s="4">
        <f>H20*AD20</f>
        <v>0</v>
      </c>
      <c r="K20" s="4">
        <f>J20*AD20</f>
        <v>0</v>
      </c>
      <c r="L20" s="4">
        <v>200</v>
      </c>
      <c r="M20" s="4">
        <f>L20*AD20</f>
        <v>35.583333333333336</v>
      </c>
      <c r="O20" s="4">
        <f>N20*AD20</f>
        <v>0</v>
      </c>
      <c r="Q20" s="4">
        <f>P20*AD20</f>
        <v>0</v>
      </c>
      <c r="Y20" s="4" t="s">
        <v>119</v>
      </c>
      <c r="AB20" s="33" t="s">
        <v>289</v>
      </c>
      <c r="AC20" s="4">
        <f>B20+D20+F20+H20+J20+L20+N20+P20</f>
        <v>300</v>
      </c>
      <c r="AD20" s="4">
        <f>1067.5/6000</f>
        <v>0.17791666666666667</v>
      </c>
      <c r="AE20" s="24">
        <f>AC20*AD20</f>
        <v>53.375</v>
      </c>
      <c r="AG20" s="4">
        <v>14</v>
      </c>
    </row>
    <row r="21" spans="1:33" ht="14.25">
      <c r="A21" s="2">
        <v>43028</v>
      </c>
      <c r="C21" s="4">
        <f>B21*AD21</f>
        <v>0</v>
      </c>
      <c r="E21" s="4">
        <f>D21*AD21</f>
        <v>0</v>
      </c>
      <c r="G21" s="4">
        <f>F21*AD21</f>
        <v>0</v>
      </c>
      <c r="I21" s="4">
        <f>H21*AD21</f>
        <v>0</v>
      </c>
      <c r="K21" s="4">
        <f>J21*AD21</f>
        <v>0</v>
      </c>
      <c r="L21" s="4">
        <v>200</v>
      </c>
      <c r="M21" s="4">
        <f>L21*AD21</f>
        <v>35.583333333333336</v>
      </c>
      <c r="O21" s="4">
        <f>N21*AD21</f>
        <v>0</v>
      </c>
      <c r="Q21" s="4">
        <f>P21*AD21</f>
        <v>0</v>
      </c>
      <c r="Y21" s="4" t="s">
        <v>119</v>
      </c>
      <c r="AB21" s="33" t="s">
        <v>289</v>
      </c>
      <c r="AC21" s="4">
        <f>B21+D21+F21+H21+J21+L21+N21+P21</f>
        <v>200</v>
      </c>
      <c r="AD21" s="4">
        <f>1067.5/6000</f>
        <v>0.17791666666666667</v>
      </c>
      <c r="AE21" s="24">
        <f>AC21*AD21</f>
        <v>35.583333333333336</v>
      </c>
      <c r="AG21" s="4">
        <v>14</v>
      </c>
    </row>
    <row r="22" spans="1:33" ht="14.25">
      <c r="A22" s="27">
        <v>43029</v>
      </c>
      <c r="C22" s="4">
        <f>B22*AD22</f>
        <v>0</v>
      </c>
      <c r="D22" s="4">
        <v>121</v>
      </c>
      <c r="E22" s="4">
        <f>D22*AD22</f>
        <v>21.527916666666666</v>
      </c>
      <c r="G22" s="4">
        <f>F22*AD22</f>
        <v>0</v>
      </c>
      <c r="I22" s="4">
        <f>H22*AD22</f>
        <v>0</v>
      </c>
      <c r="K22" s="4">
        <f>J22*AD22</f>
        <v>0</v>
      </c>
      <c r="L22" s="4">
        <v>200</v>
      </c>
      <c r="M22" s="4">
        <f>L22*AD22</f>
        <v>35.583333333333336</v>
      </c>
      <c r="O22" s="4">
        <f>N22*AD22</f>
        <v>0</v>
      </c>
      <c r="Q22" s="4">
        <f>P22*AD22</f>
        <v>0</v>
      </c>
      <c r="Y22" s="4" t="s">
        <v>119</v>
      </c>
      <c r="AB22" s="33" t="s">
        <v>289</v>
      </c>
      <c r="AC22" s="4">
        <f>B22+D22+F22+H22+J22+L22+N22+P22</f>
        <v>321</v>
      </c>
      <c r="AD22" s="4">
        <f>1067.5/6000</f>
        <v>0.17791666666666667</v>
      </c>
      <c r="AE22" s="24">
        <f>AC22*AD22</f>
        <v>57.11125</v>
      </c>
      <c r="AG22" s="4">
        <v>14</v>
      </c>
    </row>
    <row r="23" spans="1:33" ht="14.25">
      <c r="A23" s="27">
        <v>43030</v>
      </c>
      <c r="C23" s="4">
        <f>B23*AD23</f>
        <v>0</v>
      </c>
      <c r="D23" s="4">
        <v>40.5</v>
      </c>
      <c r="E23" s="4">
        <f>D23*AD23</f>
        <v>7.205625</v>
      </c>
      <c r="F23" s="4">
        <v>120</v>
      </c>
      <c r="G23" s="4">
        <f>F23*AD23</f>
        <v>21.35</v>
      </c>
      <c r="I23" s="4">
        <f>H23*AD23</f>
        <v>0</v>
      </c>
      <c r="K23" s="4">
        <f>J23*AD23</f>
        <v>0</v>
      </c>
      <c r="L23" s="4">
        <v>200</v>
      </c>
      <c r="M23" s="4">
        <f>L23*AD23</f>
        <v>35.583333333333336</v>
      </c>
      <c r="O23" s="4">
        <f>N23*AD23</f>
        <v>0</v>
      </c>
      <c r="Q23" s="4">
        <f>P23*AD23</f>
        <v>0</v>
      </c>
      <c r="Y23" s="4" t="s">
        <v>119</v>
      </c>
      <c r="AB23" s="33" t="s">
        <v>289</v>
      </c>
      <c r="AC23" s="4">
        <f>B23+D23+F23+H23+J23+L23+N23+P23</f>
        <v>360.5</v>
      </c>
      <c r="AD23" s="4">
        <f>1067.5/6000</f>
        <v>0.17791666666666667</v>
      </c>
      <c r="AE23" s="24">
        <f>AC23*AD23</f>
        <v>64.13895833333333</v>
      </c>
      <c r="AG23" s="4">
        <v>14</v>
      </c>
    </row>
    <row r="24" spans="1:33" ht="14.25">
      <c r="A24" s="27">
        <v>43031</v>
      </c>
      <c r="B24" s="4">
        <f>340+691+10+12</f>
        <v>1053</v>
      </c>
      <c r="C24" s="4">
        <f>B24*AD24</f>
        <v>187.34625</v>
      </c>
      <c r="D24" s="4">
        <v>305</v>
      </c>
      <c r="E24" s="4">
        <f>D24*AD24</f>
        <v>54.264583333333334</v>
      </c>
      <c r="F24" s="4">
        <v>100</v>
      </c>
      <c r="G24" s="4">
        <f>F24*AD24</f>
        <v>17.791666666666668</v>
      </c>
      <c r="I24" s="4">
        <f>H24*AD24</f>
        <v>0</v>
      </c>
      <c r="K24" s="4">
        <f>J24*AD24</f>
        <v>0</v>
      </c>
      <c r="L24" s="4">
        <v>243</v>
      </c>
      <c r="M24" s="4">
        <f>L24*AD24</f>
        <v>43.23375</v>
      </c>
      <c r="O24" s="4">
        <f>N24*AD24</f>
        <v>0</v>
      </c>
      <c r="Q24" s="4">
        <f>P24*AD24</f>
        <v>0</v>
      </c>
      <c r="Y24" s="4" t="s">
        <v>119</v>
      </c>
      <c r="AB24" s="33" t="s">
        <v>290</v>
      </c>
      <c r="AC24" s="4">
        <f>B24+D24+F24+H24+J24+L24+N24+P24</f>
        <v>1701</v>
      </c>
      <c r="AD24" s="4">
        <f>1067.5/6000</f>
        <v>0.17791666666666667</v>
      </c>
      <c r="AE24" s="24">
        <f>AC24*AD24</f>
        <v>302.63625</v>
      </c>
      <c r="AG24" s="4">
        <v>14</v>
      </c>
    </row>
    <row r="25" spans="1:33" ht="14.25">
      <c r="A25" s="27">
        <v>43032</v>
      </c>
      <c r="B25" s="4">
        <f>6*4</f>
        <v>24</v>
      </c>
      <c r="C25" s="4">
        <f>B25*AD25</f>
        <v>4.27</v>
      </c>
      <c r="D25" s="4">
        <v>151</v>
      </c>
      <c r="E25" s="4">
        <f>D25*AD25</f>
        <v>26.86541666666667</v>
      </c>
      <c r="G25" s="4">
        <f>F25*AD25</f>
        <v>0</v>
      </c>
      <c r="H25" s="4">
        <f>11*2+30</f>
        <v>52</v>
      </c>
      <c r="I25" s="4">
        <f>H25*AD25</f>
        <v>9.251666666666667</v>
      </c>
      <c r="K25" s="4">
        <f>J25*AD25</f>
        <v>0</v>
      </c>
      <c r="L25" s="4">
        <v>243</v>
      </c>
      <c r="M25" s="4">
        <f>L25*AD25</f>
        <v>43.23375</v>
      </c>
      <c r="O25" s="4">
        <f>N25*AD25</f>
        <v>0</v>
      </c>
      <c r="Q25" s="4">
        <f>P25*AD25</f>
        <v>0</v>
      </c>
      <c r="Y25" s="4" t="s">
        <v>119</v>
      </c>
      <c r="AB25" s="33" t="s">
        <v>291</v>
      </c>
      <c r="AC25" s="4">
        <f>B25+D25+F25+H25+J25+L25+N25+P25</f>
        <v>470</v>
      </c>
      <c r="AD25" s="4">
        <f>1067.5/6000</f>
        <v>0.17791666666666667</v>
      </c>
      <c r="AE25" s="24">
        <f>AC25*AD25</f>
        <v>83.62083333333334</v>
      </c>
      <c r="AG25" s="4">
        <v>14</v>
      </c>
    </row>
    <row r="26" spans="1:33" ht="14.25">
      <c r="A26" s="27">
        <v>43033</v>
      </c>
      <c r="C26" s="4">
        <f>B26*AD26</f>
        <v>0</v>
      </c>
      <c r="D26" s="4">
        <f>93</f>
        <v>93</v>
      </c>
      <c r="E26" s="4">
        <f>D26*AD26</f>
        <v>16.54625</v>
      </c>
      <c r="G26" s="4">
        <f>F26*AD26</f>
        <v>0</v>
      </c>
      <c r="H26" s="4">
        <f>40</f>
        <v>40</v>
      </c>
      <c r="I26" s="4">
        <f>H26*AD26</f>
        <v>7.116666666666667</v>
      </c>
      <c r="J26" s="4">
        <v>5</v>
      </c>
      <c r="K26" s="4">
        <f>J26*AD26</f>
        <v>0.8895833333333334</v>
      </c>
      <c r="L26" s="4">
        <v>243</v>
      </c>
      <c r="M26" s="4">
        <f>L26*AD26</f>
        <v>43.23375</v>
      </c>
      <c r="O26" s="4">
        <f>N26*AD26</f>
        <v>0</v>
      </c>
      <c r="Q26" s="4">
        <f>P26*AD26</f>
        <v>0</v>
      </c>
      <c r="Y26" s="4" t="s">
        <v>119</v>
      </c>
      <c r="AB26" s="4" t="s">
        <v>291</v>
      </c>
      <c r="AC26" s="4">
        <f>B26+D26+F26+H26+J26+L26+N26+P26</f>
        <v>381</v>
      </c>
      <c r="AD26" s="4">
        <f>1067.5/6000</f>
        <v>0.17791666666666667</v>
      </c>
      <c r="AE26" s="24">
        <f>AC26*AD26</f>
        <v>67.78625</v>
      </c>
      <c r="AG26" s="4">
        <v>14</v>
      </c>
    </row>
    <row r="27" spans="1:33" ht="14.25">
      <c r="A27" s="27">
        <v>43034</v>
      </c>
      <c r="C27" s="4">
        <f>B27*AD27</f>
        <v>0</v>
      </c>
      <c r="D27" s="4">
        <v>129</v>
      </c>
      <c r="E27" s="4">
        <f>D27*AD27</f>
        <v>22.95125</v>
      </c>
      <c r="F27" s="4">
        <f>40</f>
        <v>40</v>
      </c>
      <c r="G27" s="4">
        <f>F27*AD27</f>
        <v>7.116666666666667</v>
      </c>
      <c r="H27" s="4">
        <f>70*2</f>
        <v>140</v>
      </c>
      <c r="I27" s="4">
        <f>H27*AD27</f>
        <v>24.908333333333335</v>
      </c>
      <c r="J27" s="4">
        <f>30+10+20+20</f>
        <v>80</v>
      </c>
      <c r="K27" s="4">
        <f>J27*AD27</f>
        <v>14.233333333333334</v>
      </c>
      <c r="L27" s="4">
        <v>243</v>
      </c>
      <c r="M27" s="4">
        <f>L27*AD27</f>
        <v>43.23375</v>
      </c>
      <c r="O27" s="4">
        <f>N27*AD27</f>
        <v>0</v>
      </c>
      <c r="Q27" s="4">
        <f>P27*AD27</f>
        <v>0</v>
      </c>
      <c r="Y27" s="4" t="s">
        <v>119</v>
      </c>
      <c r="AB27" s="4" t="s">
        <v>291</v>
      </c>
      <c r="AC27" s="4">
        <f>B27+D27+F27+H27+J27+L27+N27+P27</f>
        <v>632</v>
      </c>
      <c r="AD27" s="4">
        <f>1067.5/6000</f>
        <v>0.17791666666666667</v>
      </c>
      <c r="AE27" s="24">
        <f>AC27*AD27</f>
        <v>112.44333333333333</v>
      </c>
      <c r="AG27" s="4">
        <v>14</v>
      </c>
    </row>
    <row r="28" spans="1:33" ht="14.25">
      <c r="A28" s="27">
        <v>43035</v>
      </c>
      <c r="B28" s="4">
        <f>6*2+7*2</f>
        <v>26</v>
      </c>
      <c r="C28" s="4">
        <f>B28*AD28</f>
        <v>4.6258333333333335</v>
      </c>
      <c r="D28" s="4">
        <f>37+13</f>
        <v>50</v>
      </c>
      <c r="E28" s="4">
        <f>D28*AD28</f>
        <v>8.895833333333334</v>
      </c>
      <c r="G28" s="4">
        <f>F28*AD28</f>
        <v>0</v>
      </c>
      <c r="I28" s="4">
        <f>H28*AD28</f>
        <v>0</v>
      </c>
      <c r="J28" s="4">
        <v>5</v>
      </c>
      <c r="K28" s="4">
        <f>J28*AD28</f>
        <v>0.8895833333333334</v>
      </c>
      <c r="L28" s="4">
        <v>321.5</v>
      </c>
      <c r="M28" s="4">
        <f>L28*AD28</f>
        <v>57.200208333333336</v>
      </c>
      <c r="O28" s="4">
        <f>N28*AD28</f>
        <v>0</v>
      </c>
      <c r="Q28" s="4">
        <f>P28*AD28</f>
        <v>0</v>
      </c>
      <c r="Y28" s="4" t="s">
        <v>119</v>
      </c>
      <c r="AB28" s="4" t="s">
        <v>292</v>
      </c>
      <c r="AC28" s="4">
        <f>B28+D28+F28+H28+J28+L28+N28+P28</f>
        <v>402.5</v>
      </c>
      <c r="AD28" s="4">
        <f>1067.5/6000</f>
        <v>0.17791666666666667</v>
      </c>
      <c r="AE28" s="24">
        <f>AC28*AD28</f>
        <v>71.61145833333333</v>
      </c>
      <c r="AG28" s="4">
        <v>14</v>
      </c>
    </row>
    <row r="29" spans="1:33" ht="14.25">
      <c r="A29" s="27">
        <v>43036</v>
      </c>
      <c r="C29" s="4">
        <f>B29*AD29</f>
        <v>0</v>
      </c>
      <c r="D29" s="4">
        <f>196+26.5</f>
        <v>222.5</v>
      </c>
      <c r="E29" s="4">
        <f>D29*AD29</f>
        <v>39.58645833333333</v>
      </c>
      <c r="F29" s="4">
        <v>145</v>
      </c>
      <c r="G29" s="4">
        <f>F29*AD29</f>
        <v>25.797916666666666</v>
      </c>
      <c r="I29" s="4">
        <f>H29*AD29</f>
        <v>0</v>
      </c>
      <c r="K29" s="4">
        <f>J29*AD29</f>
        <v>0</v>
      </c>
      <c r="L29" s="4">
        <v>321.5</v>
      </c>
      <c r="M29" s="4">
        <f>L29*AD29</f>
        <v>57.200208333333336</v>
      </c>
      <c r="O29" s="4">
        <f>N29*AD29</f>
        <v>0</v>
      </c>
      <c r="Q29" s="4">
        <f>P29*AD29</f>
        <v>0</v>
      </c>
      <c r="Y29" s="4" t="s">
        <v>119</v>
      </c>
      <c r="AB29" s="4" t="s">
        <v>293</v>
      </c>
      <c r="AC29" s="4">
        <f>B29+D29+F29+H29+J29+L29+N29+P29</f>
        <v>689</v>
      </c>
      <c r="AD29" s="4">
        <f>1067.5/6000</f>
        <v>0.17791666666666667</v>
      </c>
      <c r="AE29" s="24">
        <f>AC29*AD29</f>
        <v>122.58458333333333</v>
      </c>
      <c r="AG29" s="4">
        <v>14</v>
      </c>
    </row>
    <row r="30" spans="1:33" ht="14.25">
      <c r="A30" s="27">
        <v>43037</v>
      </c>
      <c r="C30" s="4">
        <f>B30*AD30</f>
        <v>0</v>
      </c>
      <c r="D30" s="4">
        <f>11+30</f>
        <v>41</v>
      </c>
      <c r="E30" s="4">
        <f>D30*AD30</f>
        <v>7.294583333333334</v>
      </c>
      <c r="F30" s="4">
        <f>125+45</f>
        <v>170</v>
      </c>
      <c r="G30" s="4">
        <f>F30*AD30</f>
        <v>30.245833333333334</v>
      </c>
      <c r="I30" s="4">
        <f>H30*AD30</f>
        <v>0</v>
      </c>
      <c r="K30" s="4">
        <f>J30*AD30</f>
        <v>0</v>
      </c>
      <c r="L30" s="4">
        <v>321.5</v>
      </c>
      <c r="M30" s="4">
        <f>L30*AD30</f>
        <v>57.200208333333336</v>
      </c>
      <c r="O30" s="4">
        <f>N30*AD30</f>
        <v>0</v>
      </c>
      <c r="Q30" s="4">
        <f>P30*AD30</f>
        <v>0</v>
      </c>
      <c r="Y30" s="4" t="s">
        <v>119</v>
      </c>
      <c r="AB30" s="4" t="s">
        <v>293</v>
      </c>
      <c r="AC30" s="4">
        <f>B30+D30+F30+H30+J30+L30+N30+P30</f>
        <v>532.5</v>
      </c>
      <c r="AD30" s="4">
        <f>1067.5/6000</f>
        <v>0.17791666666666667</v>
      </c>
      <c r="AE30" s="24">
        <f>AC30*AD30</f>
        <v>94.740625</v>
      </c>
      <c r="AG30" s="4">
        <v>14</v>
      </c>
    </row>
    <row r="31" spans="1:33" ht="14.25">
      <c r="A31" s="27">
        <v>43038</v>
      </c>
      <c r="B31" s="4">
        <f>7*4+652</f>
        <v>680</v>
      </c>
      <c r="C31" s="4">
        <f>B31*AD31</f>
        <v>120.98333333333333</v>
      </c>
      <c r="D31" s="4">
        <f>87+25+18.5</f>
        <v>130.5</v>
      </c>
      <c r="E31" s="4">
        <f>D31*AD31</f>
        <v>23.218125</v>
      </c>
      <c r="F31" s="4">
        <v>95</v>
      </c>
      <c r="G31" s="4">
        <f>F31*AD31</f>
        <v>16.902083333333334</v>
      </c>
      <c r="I31" s="4">
        <f>H31*AD31</f>
        <v>0</v>
      </c>
      <c r="J31" s="4">
        <v>5</v>
      </c>
      <c r="K31" s="4">
        <f>J31*AD31</f>
        <v>0.8895833333333334</v>
      </c>
      <c r="L31" s="4">
        <v>321.5</v>
      </c>
      <c r="M31" s="4">
        <f>L31*AD31</f>
        <v>57.200208333333336</v>
      </c>
      <c r="O31" s="4">
        <f>N31*AD31</f>
        <v>0</v>
      </c>
      <c r="Q31" s="4">
        <f>P31*AD31</f>
        <v>0</v>
      </c>
      <c r="Y31" s="4" t="s">
        <v>119</v>
      </c>
      <c r="AB31" s="4" t="s">
        <v>293</v>
      </c>
      <c r="AC31" s="4">
        <f>B31+D31+F31+H31+J31+L31+N31+P31</f>
        <v>1232</v>
      </c>
      <c r="AD31" s="4">
        <f>1067.5/6000</f>
        <v>0.17791666666666667</v>
      </c>
      <c r="AE31" s="24">
        <f>AC31*AD31</f>
        <v>219.19333333333333</v>
      </c>
      <c r="AG31" s="4">
        <v>14</v>
      </c>
    </row>
    <row r="32" spans="1:33" ht="14.25">
      <c r="A32" s="27">
        <v>43039</v>
      </c>
      <c r="B32" s="4">
        <f>(25*2)+(50*4)+(20*2)</f>
        <v>290</v>
      </c>
      <c r="C32" s="4">
        <f>B32*AD32</f>
        <v>52.199999999999996</v>
      </c>
      <c r="D32" s="4">
        <f>12</f>
        <v>12</v>
      </c>
      <c r="E32" s="4">
        <f>D32*AD32</f>
        <v>2.16</v>
      </c>
      <c r="F32" s="4">
        <v>110</v>
      </c>
      <c r="G32" s="4">
        <f>F32*AD32</f>
        <v>19.8</v>
      </c>
      <c r="H32" s="4">
        <f>35*2</f>
        <v>70</v>
      </c>
      <c r="I32" s="4">
        <f>H32*AD32</f>
        <v>12.6</v>
      </c>
      <c r="J32" s="4">
        <f>3</f>
        <v>3</v>
      </c>
      <c r="K32" s="4">
        <f>J32*AD32</f>
        <v>0.54</v>
      </c>
      <c r="L32" s="4">
        <v>321.5</v>
      </c>
      <c r="M32" s="4">
        <f>L32*AD32</f>
        <v>57.87</v>
      </c>
      <c r="O32" s="4">
        <f>N32*AD32</f>
        <v>0</v>
      </c>
      <c r="Q32" s="4">
        <f>P32*AD32</f>
        <v>0</v>
      </c>
      <c r="Y32" s="4" t="s">
        <v>119</v>
      </c>
      <c r="AB32" s="4" t="s">
        <v>293</v>
      </c>
      <c r="AC32" s="4">
        <f>B32+D32+F32+H32+J32+L32+N32+P32</f>
        <v>806.5</v>
      </c>
      <c r="AD32" s="4">
        <v>0.18</v>
      </c>
      <c r="AE32" s="24">
        <f>AC32*AD32</f>
        <v>145.17</v>
      </c>
      <c r="AG32" s="4">
        <v>14</v>
      </c>
    </row>
    <row r="33" spans="1:33" ht="14.25">
      <c r="A33" s="25"/>
      <c r="C33" s="4">
        <f>B33*AD33</f>
        <v>0</v>
      </c>
      <c r="E33" s="4">
        <f>D33*AD33</f>
        <v>0</v>
      </c>
      <c r="G33" s="4">
        <f>F33*AD33</f>
        <v>0</v>
      </c>
      <c r="I33" s="4">
        <f>H33*AD33</f>
        <v>0</v>
      </c>
      <c r="K33" s="4">
        <f>J33*AD33</f>
        <v>0</v>
      </c>
      <c r="M33" s="4">
        <f>L33*AD33</f>
        <v>0</v>
      </c>
      <c r="O33" s="4">
        <f>N33*AD33</f>
        <v>0</v>
      </c>
      <c r="Q33" s="4">
        <f>P33*AD33</f>
        <v>0</v>
      </c>
      <c r="AC33" s="4">
        <f>B33+D33+F33+H33+J33+L33+N33+P33</f>
        <v>0</v>
      </c>
      <c r="AD33" s="4">
        <v>0.18</v>
      </c>
      <c r="AE33" s="24">
        <f>AC33*AD33</f>
        <v>0</v>
      </c>
      <c r="AG33" s="4">
        <v>14</v>
      </c>
    </row>
    <row r="34" spans="1:33" ht="14.2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v>0.18</v>
      </c>
      <c r="AE34" s="24">
        <f>AC34*AD34</f>
        <v>0</v>
      </c>
      <c r="AG34" s="4">
        <v>14</v>
      </c>
    </row>
    <row r="35" spans="3:31" ht="14.2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v>0.18</v>
      </c>
      <c r="AE35" s="24">
        <f>AC35*AD35</f>
        <v>0</v>
      </c>
    </row>
    <row r="36" spans="3:31" ht="14.2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v>0.18</v>
      </c>
      <c r="AE36" s="24">
        <f>AC36*AD36</f>
        <v>0</v>
      </c>
    </row>
    <row r="37" spans="3:31" ht="14.2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v>0.18</v>
      </c>
      <c r="AE37" s="24">
        <f>AC37*AD37</f>
        <v>0</v>
      </c>
    </row>
    <row r="38" spans="3:45" ht="14.2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  <c r="AS38" s="25"/>
    </row>
    <row r="39" spans="3:31" ht="14.2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0.1889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C1">
      <selection activeCell="AO1" sqref="AO1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9.8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4.625" style="4" customWidth="1"/>
    <col min="48" max="48" width="7.375" style="4" customWidth="1"/>
    <col min="49" max="49" width="10.625" style="4" customWidth="1"/>
    <col min="50" max="50" width="11.87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43040</v>
      </c>
      <c r="C2" s="4">
        <f>B2*AD2</f>
        <v>0</v>
      </c>
      <c r="D2" s="4">
        <f>204+16</f>
        <v>220</v>
      </c>
      <c r="E2" s="4">
        <f>D2*AD2</f>
        <v>39.6</v>
      </c>
      <c r="F2" s="4">
        <v>120</v>
      </c>
      <c r="G2" s="4">
        <f>F2*AD2</f>
        <v>21.599999999999998</v>
      </c>
      <c r="I2" s="4">
        <f>H2*AD2</f>
        <v>0</v>
      </c>
      <c r="K2" s="4">
        <f>J2*AD2</f>
        <v>0</v>
      </c>
      <c r="L2" s="4">
        <v>321.5</v>
      </c>
      <c r="M2" s="4">
        <f>L2*AD2</f>
        <v>57.87</v>
      </c>
      <c r="O2" s="4">
        <f>N2*AD2</f>
        <v>0</v>
      </c>
      <c r="Q2" s="4">
        <f>P2*AD2</f>
        <v>0</v>
      </c>
      <c r="T2" s="4" t="s">
        <v>119</v>
      </c>
      <c r="AB2" s="4" t="s">
        <v>293</v>
      </c>
      <c r="AC2" s="4">
        <f>B2+D2+F2+H2+J2+L2+N2+P2</f>
        <v>661.5</v>
      </c>
      <c r="AD2" s="4">
        <v>0.18</v>
      </c>
      <c r="AE2" s="24">
        <f>AC2*AD2</f>
        <v>119.07</v>
      </c>
      <c r="AG2" s="4">
        <v>14</v>
      </c>
      <c r="AI2" s="4" t="s">
        <v>121</v>
      </c>
      <c r="AJ2" s="4">
        <f>SUM($AE$2:$AE$994)</f>
        <v>9427.83306</v>
      </c>
      <c r="AL2" s="4" t="s">
        <v>122</v>
      </c>
      <c r="AM2" s="28">
        <f>$AJ$2/$AJ$5</f>
        <v>314.26110200000005</v>
      </c>
      <c r="AO2" s="4" t="s">
        <v>123</v>
      </c>
      <c r="AP2" s="4">
        <f>COUNTBLANK(L2:L40)-COUNTBLANK(A2:A40)</f>
        <v>4</v>
      </c>
      <c r="AQ2" s="29"/>
      <c r="AR2" s="29"/>
      <c r="AS2" s="29"/>
      <c r="AT2" s="29"/>
      <c r="AU2" s="29"/>
      <c r="AV2" s="29"/>
      <c r="AW2" s="29"/>
      <c r="AX2" s="29" t="s">
        <v>243</v>
      </c>
      <c r="AY2" s="29">
        <f>SUMIF($AG$2:$AG$44,"=14",$AE$2:$AE$44)</f>
        <v>2937.9600000000005</v>
      </c>
      <c r="AZ2" s="29"/>
      <c r="BB2" s="5"/>
      <c r="BC2" s="5"/>
    </row>
    <row r="3" spans="1:55" ht="14.25">
      <c r="A3" s="27">
        <v>43041</v>
      </c>
      <c r="C3" s="4">
        <f>B3*AD3</f>
        <v>0</v>
      </c>
      <c r="D3" s="4">
        <v>59</v>
      </c>
      <c r="E3" s="4">
        <f>D3*AD3</f>
        <v>10.62</v>
      </c>
      <c r="F3" s="4">
        <v>100</v>
      </c>
      <c r="G3" s="4">
        <f>F3*AD3</f>
        <v>18</v>
      </c>
      <c r="I3" s="4">
        <f>H3*AD3</f>
        <v>0</v>
      </c>
      <c r="K3" s="4">
        <f>J3*AD3</f>
        <v>0</v>
      </c>
      <c r="L3" s="4">
        <v>321.5</v>
      </c>
      <c r="M3" s="4">
        <f>L3*AD3</f>
        <v>57.87</v>
      </c>
      <c r="O3" s="4">
        <f>N3*AD3</f>
        <v>0</v>
      </c>
      <c r="Q3" s="4">
        <f>P3*AD3</f>
        <v>0</v>
      </c>
      <c r="T3" s="4" t="s">
        <v>119</v>
      </c>
      <c r="AB3" s="4" t="s">
        <v>293</v>
      </c>
      <c r="AC3" s="4">
        <f>B3+D3+F3+H3+J3+L3+N3+P3</f>
        <v>480.5</v>
      </c>
      <c r="AD3" s="4">
        <v>0.18</v>
      </c>
      <c r="AE3" s="24">
        <f>AC3*AD3</f>
        <v>86.49</v>
      </c>
      <c r="AG3" s="4">
        <v>14</v>
      </c>
      <c r="AI3" s="30"/>
      <c r="AL3" s="30"/>
      <c r="AM3" s="28"/>
      <c r="AO3" s="4" t="s">
        <v>126</v>
      </c>
      <c r="AP3" s="4">
        <f>COUNT(L2:L36)</f>
        <v>26</v>
      </c>
      <c r="AR3" s="29"/>
      <c r="AS3" s="29"/>
      <c r="AT3" s="29"/>
      <c r="AU3" s="29"/>
      <c r="AV3" s="29"/>
      <c r="AW3" s="29"/>
      <c r="AX3" s="29" t="s">
        <v>244</v>
      </c>
      <c r="AY3" s="29">
        <f>_xlfn.COUNTIFS($A$2:$A$44,"&lt;&gt;''",$AG$2:$AG$44,"=14")</f>
        <v>28</v>
      </c>
      <c r="AZ3" s="29"/>
      <c r="BB3" s="5"/>
      <c r="BC3" s="5"/>
    </row>
    <row r="4" spans="1:55" ht="14.25">
      <c r="A4" s="27">
        <v>43042</v>
      </c>
      <c r="B4" s="4">
        <f>7*2</f>
        <v>14</v>
      </c>
      <c r="C4" s="4">
        <f>B4*AD4</f>
        <v>2.52</v>
      </c>
      <c r="D4" s="4">
        <f>46</f>
        <v>46</v>
      </c>
      <c r="E4" s="4">
        <f>D4*AD4</f>
        <v>8.28</v>
      </c>
      <c r="F4" s="4">
        <v>81</v>
      </c>
      <c r="G4" s="4">
        <f>F4*AD4</f>
        <v>14.58</v>
      </c>
      <c r="I4" s="4">
        <f>H4*AD4</f>
        <v>0</v>
      </c>
      <c r="J4" s="4">
        <v>10</v>
      </c>
      <c r="K4" s="4">
        <f>J4*AD4</f>
        <v>1.7999999999999998</v>
      </c>
      <c r="M4" s="4">
        <f>L4*AD4</f>
        <v>0</v>
      </c>
      <c r="O4" s="4">
        <f>N4*AD4</f>
        <v>0</v>
      </c>
      <c r="Q4" s="4">
        <f>P4*AD4</f>
        <v>0</v>
      </c>
      <c r="Z4" s="4" t="s">
        <v>119</v>
      </c>
      <c r="AB4" s="4" t="s">
        <v>294</v>
      </c>
      <c r="AC4" s="4">
        <f>B4+D4+F4+H4+J4+L4+N4+P4</f>
        <v>151</v>
      </c>
      <c r="AD4" s="4">
        <v>0.18</v>
      </c>
      <c r="AE4" s="24">
        <f>AC4*AD4</f>
        <v>27.18</v>
      </c>
      <c r="AG4" s="4">
        <v>14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/>
      <c r="AW4" s="29"/>
      <c r="AX4" s="29" t="s">
        <v>246</v>
      </c>
      <c r="AY4" s="29">
        <f>AY2/AY3</f>
        <v>104.92714285714287</v>
      </c>
      <c r="AZ4" s="29"/>
      <c r="BB4" s="5"/>
      <c r="BC4" s="5"/>
    </row>
    <row r="5" spans="1:42" ht="12.75">
      <c r="A5" s="27">
        <v>43043</v>
      </c>
      <c r="C5" s="4">
        <f>B5*AD5</f>
        <v>0</v>
      </c>
      <c r="D5" s="4">
        <f>310+12</f>
        <v>322</v>
      </c>
      <c r="E5" s="4">
        <f>D5*AD5</f>
        <v>57.96</v>
      </c>
      <c r="G5" s="4">
        <f>F5*AD5</f>
        <v>0</v>
      </c>
      <c r="I5" s="4">
        <f>H5*AD5</f>
        <v>0</v>
      </c>
      <c r="J5" s="4">
        <v>5</v>
      </c>
      <c r="K5" s="4">
        <f>J5*AD5</f>
        <v>0.8999999999999999</v>
      </c>
      <c r="L5" s="4">
        <v>213</v>
      </c>
      <c r="M5" s="4">
        <f>L5*AD5</f>
        <v>38.339999999999996</v>
      </c>
      <c r="O5" s="4">
        <f>N5*AD5</f>
        <v>0</v>
      </c>
      <c r="Q5" s="4">
        <f>P5*AD5</f>
        <v>0</v>
      </c>
      <c r="Y5" s="4" t="s">
        <v>119</v>
      </c>
      <c r="AB5" s="4" t="s">
        <v>295</v>
      </c>
      <c r="AC5" s="4">
        <f>B5+D5+F5+H5+J5+L5+N5+P5</f>
        <v>540</v>
      </c>
      <c r="AD5" s="4">
        <v>0.18</v>
      </c>
      <c r="AE5" s="24">
        <f>AC5*AD5</f>
        <v>97.2</v>
      </c>
      <c r="AG5" s="4">
        <v>14</v>
      </c>
      <c r="AI5" s="4" t="s">
        <v>134</v>
      </c>
      <c r="AJ5" s="4">
        <f>COUNTA(A2:A349)</f>
        <v>30</v>
      </c>
      <c r="AO5" s="4" t="s">
        <v>135</v>
      </c>
      <c r="AP5" s="4">
        <f>COUNTA(R2:R49)</f>
        <v>0</v>
      </c>
    </row>
    <row r="6" spans="1:42" ht="14.25">
      <c r="A6" s="27">
        <v>43044</v>
      </c>
      <c r="C6" s="4">
        <f>B6*AD6</f>
        <v>0</v>
      </c>
      <c r="D6" s="4">
        <v>51</v>
      </c>
      <c r="E6" s="4">
        <f>D6*AD6</f>
        <v>9.18</v>
      </c>
      <c r="G6" s="4">
        <f>F6*AD6</f>
        <v>0</v>
      </c>
      <c r="I6" s="4">
        <f>H6*AD6</f>
        <v>0</v>
      </c>
      <c r="K6" s="4">
        <f>J6*AD6</f>
        <v>0</v>
      </c>
      <c r="L6" s="4">
        <v>213</v>
      </c>
      <c r="M6" s="4">
        <f>L6*AD6</f>
        <v>38.339999999999996</v>
      </c>
      <c r="O6" s="4">
        <f>N6*AD6</f>
        <v>0</v>
      </c>
      <c r="Q6" s="4">
        <f>P6*AD6</f>
        <v>0</v>
      </c>
      <c r="Y6" s="4" t="s">
        <v>119</v>
      </c>
      <c r="AB6" s="4" t="s">
        <v>295</v>
      </c>
      <c r="AC6" s="4">
        <f>B6+D6+F6+H6+J6+L6+N6+P6</f>
        <v>264</v>
      </c>
      <c r="AD6" s="4">
        <v>0.18</v>
      </c>
      <c r="AE6" s="24">
        <f>AC6*AD6</f>
        <v>47.519999999999996</v>
      </c>
      <c r="AG6" s="4">
        <v>14</v>
      </c>
      <c r="AI6" s="30"/>
      <c r="AO6" s="4" t="s">
        <v>136</v>
      </c>
      <c r="AP6" s="4">
        <f>COUNTA(T2:T49)</f>
        <v>12</v>
      </c>
    </row>
    <row r="7" spans="1:42" ht="14.25">
      <c r="A7" s="27">
        <v>43045</v>
      </c>
      <c r="C7" s="4">
        <f>B7*AD7</f>
        <v>0</v>
      </c>
      <c r="D7" s="4">
        <v>59</v>
      </c>
      <c r="E7" s="4">
        <f>D7*AD7</f>
        <v>10.62</v>
      </c>
      <c r="G7" s="4">
        <f>F7*AD7</f>
        <v>0</v>
      </c>
      <c r="I7" s="4">
        <f>H7*AD7</f>
        <v>0</v>
      </c>
      <c r="K7" s="4">
        <f>J7*AD7</f>
        <v>0</v>
      </c>
      <c r="L7" s="4">
        <v>213</v>
      </c>
      <c r="M7" s="4">
        <f>L7*AD7</f>
        <v>38.339999999999996</v>
      </c>
      <c r="O7" s="4">
        <f>N7*AD7</f>
        <v>0</v>
      </c>
      <c r="Q7" s="4">
        <f>P7*AD7</f>
        <v>0</v>
      </c>
      <c r="Y7" s="4" t="s">
        <v>119</v>
      </c>
      <c r="AB7" s="4" t="s">
        <v>295</v>
      </c>
      <c r="AC7" s="4">
        <f>B7+D7+F7+H7+J7+L7+N7+P7</f>
        <v>272</v>
      </c>
      <c r="AD7" s="4">
        <v>0.18</v>
      </c>
      <c r="AE7" s="24">
        <f>AC7*AD7</f>
        <v>48.96</v>
      </c>
      <c r="AG7" s="4">
        <v>14</v>
      </c>
      <c r="AL7" s="4" t="s">
        <v>138</v>
      </c>
      <c r="AO7" s="4" t="s">
        <v>109</v>
      </c>
      <c r="AP7" s="4">
        <f>COUNTA(U2:U49)</f>
        <v>1</v>
      </c>
    </row>
    <row r="8" spans="1:42" ht="14.25">
      <c r="A8" s="27">
        <v>43046</v>
      </c>
      <c r="B8" s="4">
        <f>140*2+60*2</f>
        <v>400</v>
      </c>
      <c r="C8" s="4">
        <f>B8*AD8</f>
        <v>72</v>
      </c>
      <c r="D8" s="4">
        <f>63.5</f>
        <v>63.5</v>
      </c>
      <c r="E8" s="4">
        <f>D8*AD8</f>
        <v>11.43</v>
      </c>
      <c r="F8" s="4">
        <v>135</v>
      </c>
      <c r="G8" s="4">
        <f>F8*AD8</f>
        <v>24.3</v>
      </c>
      <c r="I8" s="4">
        <f>H8*AD8</f>
        <v>0</v>
      </c>
      <c r="K8" s="4">
        <f>J8*AD8</f>
        <v>0</v>
      </c>
      <c r="L8" s="4">
        <v>200</v>
      </c>
      <c r="M8" s="4">
        <f>L8*AD8</f>
        <v>36</v>
      </c>
      <c r="O8" s="4">
        <f>N8*AD8</f>
        <v>0</v>
      </c>
      <c r="Q8" s="4">
        <f>P8*AD8</f>
        <v>0</v>
      </c>
      <c r="T8" s="4" t="s">
        <v>119</v>
      </c>
      <c r="AB8" s="4" t="s">
        <v>296</v>
      </c>
      <c r="AC8" s="4">
        <f>B8+D8+F8+H8+J8+L8+N8+P8</f>
        <v>798.5</v>
      </c>
      <c r="AD8" s="4">
        <v>0.18</v>
      </c>
      <c r="AE8" s="24">
        <f>AC8*AD8</f>
        <v>143.73</v>
      </c>
      <c r="AG8" s="4">
        <v>14</v>
      </c>
      <c r="AI8" s="4" t="s">
        <v>140</v>
      </c>
      <c r="AJ8" s="26">
        <f>SUM(M2:M994)</f>
        <v>1197.9699999999996</v>
      </c>
      <c r="AL8" s="4" t="s">
        <v>103</v>
      </c>
      <c r="AM8" s="26">
        <f>AJ8/$AJ$5</f>
        <v>39.93233333333332</v>
      </c>
      <c r="AO8" s="4" t="s">
        <v>141</v>
      </c>
      <c r="AP8" s="4">
        <f>COUNTA(S2:S49)</f>
        <v>0</v>
      </c>
    </row>
    <row r="9" spans="1:42" ht="14.25">
      <c r="A9" s="27">
        <v>43047</v>
      </c>
      <c r="B9" s="1">
        <f>200*2+8*4</f>
        <v>432</v>
      </c>
      <c r="C9" s="4">
        <f>B9*AD9</f>
        <v>77.75999999999999</v>
      </c>
      <c r="D9" s="4">
        <v>48</v>
      </c>
      <c r="E9" s="4">
        <f>D9*AD9</f>
        <v>8.64</v>
      </c>
      <c r="F9" s="4">
        <v>129</v>
      </c>
      <c r="G9" s="4">
        <f>F9*AD9</f>
        <v>23.22</v>
      </c>
      <c r="I9" s="4">
        <f>H9*AD9</f>
        <v>0</v>
      </c>
      <c r="K9" s="4">
        <f>J9*AD9</f>
        <v>0</v>
      </c>
      <c r="L9" s="4">
        <v>362</v>
      </c>
      <c r="M9" s="4">
        <f>L9*AD9</f>
        <v>65.16</v>
      </c>
      <c r="O9" s="4">
        <f>N9*AD9</f>
        <v>0</v>
      </c>
      <c r="Q9" s="4">
        <f>P9*AD9</f>
        <v>0</v>
      </c>
      <c r="Y9" s="4" t="s">
        <v>119</v>
      </c>
      <c r="AB9" s="4" t="s">
        <v>297</v>
      </c>
      <c r="AC9" s="4">
        <f>B9+D9+F9+H9+J9+L9+N9+P9</f>
        <v>971</v>
      </c>
      <c r="AD9" s="4">
        <v>0.18</v>
      </c>
      <c r="AE9" s="24">
        <f>AC9*AD9</f>
        <v>174.78</v>
      </c>
      <c r="AG9" s="4">
        <v>14</v>
      </c>
      <c r="AI9" s="4" t="s">
        <v>143</v>
      </c>
      <c r="AJ9" s="26">
        <f>SUM(C2:C994)</f>
        <v>4801.2298</v>
      </c>
      <c r="AL9" s="4" t="s">
        <v>93</v>
      </c>
      <c r="AM9" s="4">
        <f>AJ9/$AJ$5</f>
        <v>160.04099333333335</v>
      </c>
      <c r="AO9" s="4" t="s">
        <v>110</v>
      </c>
      <c r="AP9" s="4">
        <f>COUNTA(V2:V50)</f>
        <v>0</v>
      </c>
    </row>
    <row r="10" spans="1:42" ht="14.25">
      <c r="A10" s="27">
        <v>43048</v>
      </c>
      <c r="B10" s="4">
        <f>8*4</f>
        <v>32</v>
      </c>
      <c r="C10" s="4">
        <f>B10*AD10</f>
        <v>5.76</v>
      </c>
      <c r="D10" s="4">
        <v>170</v>
      </c>
      <c r="E10" s="4">
        <f>D10*AD10</f>
        <v>30.599999999999998</v>
      </c>
      <c r="F10" s="4">
        <v>135</v>
      </c>
      <c r="G10" s="4">
        <f>F10*AD10</f>
        <v>24.3</v>
      </c>
      <c r="I10" s="4">
        <f>H10*AD10</f>
        <v>0</v>
      </c>
      <c r="K10" s="4">
        <f>J10*AD10</f>
        <v>0</v>
      </c>
      <c r="L10" s="4">
        <v>362</v>
      </c>
      <c r="M10" s="4">
        <f>L10*AD10</f>
        <v>65.16</v>
      </c>
      <c r="O10" s="4">
        <f>N10*AD10</f>
        <v>0</v>
      </c>
      <c r="Q10" s="4">
        <f>P10*AD10</f>
        <v>0</v>
      </c>
      <c r="Y10" s="4" t="s">
        <v>119</v>
      </c>
      <c r="AB10" s="4" t="s">
        <v>298</v>
      </c>
      <c r="AC10" s="4">
        <f>B10+D10+F10+H10+J10+L10+N10+P10</f>
        <v>699</v>
      </c>
      <c r="AD10" s="4">
        <v>0.18</v>
      </c>
      <c r="AE10" s="24">
        <f>AC10*AD10</f>
        <v>125.82</v>
      </c>
      <c r="AG10" s="4">
        <v>14</v>
      </c>
      <c r="AI10" s="4" t="s">
        <v>145</v>
      </c>
      <c r="AJ10" s="26">
        <f>SUM(E2:E994)</f>
        <v>747.0655600000001</v>
      </c>
      <c r="AL10" s="4" t="s">
        <v>250</v>
      </c>
      <c r="AM10" s="4">
        <f>AJ10/$AJ$5</f>
        <v>24.90218533333334</v>
      </c>
      <c r="AO10" s="4" t="s">
        <v>184</v>
      </c>
      <c r="AP10" s="4">
        <f>COUNTA(Y2:Y51)</f>
        <v>14</v>
      </c>
    </row>
    <row r="11" spans="1:42" ht="14.25">
      <c r="A11" s="27">
        <v>43049</v>
      </c>
      <c r="B11" s="4">
        <f>8*4</f>
        <v>32</v>
      </c>
      <c r="C11" s="4">
        <f>B11*AD11</f>
        <v>5.76</v>
      </c>
      <c r="D11" s="4">
        <v>11.5</v>
      </c>
      <c r="E11" s="4">
        <f>D11*AD11</f>
        <v>2.07</v>
      </c>
      <c r="G11" s="4">
        <f>F11*AD11</f>
        <v>0</v>
      </c>
      <c r="H11" s="4">
        <v>80</v>
      </c>
      <c r="I11" s="4">
        <f>H11*AD11</f>
        <v>14.399999999999999</v>
      </c>
      <c r="K11" s="4">
        <f>J11*AD11</f>
        <v>0</v>
      </c>
      <c r="L11" s="4">
        <v>362</v>
      </c>
      <c r="M11" s="4">
        <f>L11*AD11</f>
        <v>65.16</v>
      </c>
      <c r="O11" s="4">
        <f>N11*AD11</f>
        <v>0</v>
      </c>
      <c r="Q11" s="4">
        <f>P11*AD11</f>
        <v>0</v>
      </c>
      <c r="Y11" s="4" t="s">
        <v>119</v>
      </c>
      <c r="AB11" s="33" t="s">
        <v>298</v>
      </c>
      <c r="AC11" s="4">
        <f>B11+D11+F11+H11+J11+L11+N11+P11</f>
        <v>485.5</v>
      </c>
      <c r="AD11" s="4">
        <v>0.18</v>
      </c>
      <c r="AE11" s="24">
        <f>AC11*AD11</f>
        <v>87.39</v>
      </c>
      <c r="AG11" s="4">
        <v>14</v>
      </c>
      <c r="AI11" s="4" t="s">
        <v>149</v>
      </c>
      <c r="AJ11" s="26">
        <f>SUM(G2:G994)</f>
        <v>353.05140000000006</v>
      </c>
      <c r="AL11" s="4" t="s">
        <v>150</v>
      </c>
      <c r="AM11" s="26">
        <f>AJ11/$AJ$5</f>
        <v>11.768380000000002</v>
      </c>
      <c r="AO11" s="4" t="s">
        <v>113</v>
      </c>
      <c r="AP11" s="4">
        <f>COUNTA(Z2:Z52)</f>
        <v>3</v>
      </c>
    </row>
    <row r="12" spans="1:39" ht="14.25">
      <c r="A12" s="27">
        <v>43050</v>
      </c>
      <c r="C12" s="4">
        <f>B12*AD12</f>
        <v>0</v>
      </c>
      <c r="D12" s="4">
        <f>124</f>
        <v>124</v>
      </c>
      <c r="E12" s="4">
        <f>D12*AD12</f>
        <v>22.32</v>
      </c>
      <c r="G12" s="4">
        <f>F12*AD12</f>
        <v>0</v>
      </c>
      <c r="I12" s="4">
        <f>H12*AD12</f>
        <v>0</v>
      </c>
      <c r="K12" s="4">
        <f>J12*AD12</f>
        <v>0</v>
      </c>
      <c r="L12" s="4">
        <v>300</v>
      </c>
      <c r="M12" s="4">
        <f>L12*AD12</f>
        <v>54</v>
      </c>
      <c r="O12" s="4">
        <f>N12*AD12</f>
        <v>0</v>
      </c>
      <c r="Q12" s="4">
        <f>P12*AD12</f>
        <v>0</v>
      </c>
      <c r="Y12" s="4" t="s">
        <v>119</v>
      </c>
      <c r="AB12" s="33" t="s">
        <v>298</v>
      </c>
      <c r="AC12" s="4">
        <f>B12+D12+F12+H12+J12+L12+N12+P12</f>
        <v>424</v>
      </c>
      <c r="AD12" s="4">
        <v>0.18</v>
      </c>
      <c r="AE12" s="24">
        <f>AC12*AD12</f>
        <v>76.32</v>
      </c>
      <c r="AG12" s="4">
        <v>14</v>
      </c>
      <c r="AI12" s="4" t="s">
        <v>151</v>
      </c>
      <c r="AJ12" s="26">
        <f>SUM(K2:K994)</f>
        <v>331.2633</v>
      </c>
      <c r="AL12" s="4" t="s">
        <v>101</v>
      </c>
      <c r="AM12" s="26">
        <f>AJ12/$AJ$5</f>
        <v>11.042110000000001</v>
      </c>
    </row>
    <row r="13" spans="1:39" ht="14.25">
      <c r="A13" s="27">
        <v>43051</v>
      </c>
      <c r="B13" s="1">
        <f>520+16</f>
        <v>536</v>
      </c>
      <c r="C13" s="4">
        <f>B13*AD13</f>
        <v>96.47999999999999</v>
      </c>
      <c r="D13" s="4">
        <f>14+62+25</f>
        <v>101</v>
      </c>
      <c r="E13" s="4">
        <f>D13*AD13</f>
        <v>18.18</v>
      </c>
      <c r="F13" s="4">
        <v>96</v>
      </c>
      <c r="G13" s="4">
        <f>F13*AD13</f>
        <v>17.28</v>
      </c>
      <c r="H13" s="4">
        <v>5</v>
      </c>
      <c r="I13" s="4">
        <f>H13*AD13</f>
        <v>0.8999999999999999</v>
      </c>
      <c r="K13" s="4">
        <f>J13*AD13</f>
        <v>0</v>
      </c>
      <c r="L13" s="4">
        <v>330</v>
      </c>
      <c r="M13" s="4">
        <f>L13*AD13</f>
        <v>59.4</v>
      </c>
      <c r="O13" s="4">
        <f>N13*AD13</f>
        <v>0</v>
      </c>
      <c r="Q13" s="4">
        <f>P13*AD13</f>
        <v>0</v>
      </c>
      <c r="T13" s="4" t="s">
        <v>119</v>
      </c>
      <c r="AB13" s="33" t="s">
        <v>299</v>
      </c>
      <c r="AC13" s="4">
        <f>B13+D13+F13+H13+J13+L13+N13+P13</f>
        <v>1068</v>
      </c>
      <c r="AD13" s="4">
        <v>0.18</v>
      </c>
      <c r="AE13" s="24">
        <f>AC13*AD13</f>
        <v>192.23999999999998</v>
      </c>
      <c r="AG13" s="4">
        <v>14</v>
      </c>
      <c r="AI13" s="4" t="s">
        <v>153</v>
      </c>
      <c r="AJ13" s="4">
        <f>SUM(I2:I994)</f>
        <v>40.5</v>
      </c>
      <c r="AL13" s="4" t="s">
        <v>99</v>
      </c>
      <c r="AM13" s="26">
        <f>AJ13/$AJ$5</f>
        <v>1.35</v>
      </c>
    </row>
    <row r="14" spans="1:36" ht="14.25">
      <c r="A14" s="27">
        <v>43052</v>
      </c>
      <c r="B14" s="4">
        <f>20.5*4</f>
        <v>82</v>
      </c>
      <c r="C14" s="4">
        <f>B14*AD14</f>
        <v>14.76</v>
      </c>
      <c r="D14" s="4">
        <f>113+20</f>
        <v>133</v>
      </c>
      <c r="E14" s="4">
        <f>D14*AD14</f>
        <v>23.939999999999998</v>
      </c>
      <c r="F14" s="4">
        <v>106</v>
      </c>
      <c r="G14" s="4">
        <f>F14*AD14</f>
        <v>19.08</v>
      </c>
      <c r="I14" s="4">
        <f>H14*AD14</f>
        <v>0</v>
      </c>
      <c r="K14" s="4">
        <f>J14*AD14</f>
        <v>0</v>
      </c>
      <c r="L14" s="4">
        <v>150</v>
      </c>
      <c r="M14" s="4">
        <f>L14*AD14</f>
        <v>27</v>
      </c>
      <c r="O14" s="4">
        <f>N14*AD14</f>
        <v>0</v>
      </c>
      <c r="Q14" s="4">
        <f>P14*AD14</f>
        <v>0</v>
      </c>
      <c r="T14" s="4" t="s">
        <v>119</v>
      </c>
      <c r="AB14" s="33" t="s">
        <v>300</v>
      </c>
      <c r="AC14" s="4">
        <f>B14+D14+F14+H14+J14+L14+N14+P14</f>
        <v>471</v>
      </c>
      <c r="AD14" s="4">
        <v>0.18</v>
      </c>
      <c r="AE14" s="24">
        <f>AC14*AD14</f>
        <v>84.78</v>
      </c>
      <c r="AG14" s="4">
        <v>14</v>
      </c>
      <c r="AI14" s="4" t="s">
        <v>163</v>
      </c>
      <c r="AJ14" s="26">
        <f>SUM(O2:O994)</f>
        <v>1956.7530000000002</v>
      </c>
    </row>
    <row r="15" spans="1:36" ht="14.25">
      <c r="A15" s="27">
        <v>43053</v>
      </c>
      <c r="B15" s="4">
        <f>40.5</f>
        <v>40.5</v>
      </c>
      <c r="C15" s="4">
        <f>B15*AD15</f>
        <v>7.29</v>
      </c>
      <c r="D15" s="4">
        <f>50+27</f>
        <v>77</v>
      </c>
      <c r="E15" s="4">
        <f>D15*AD15</f>
        <v>13.86</v>
      </c>
      <c r="F15" s="4">
        <v>110</v>
      </c>
      <c r="G15" s="4">
        <f>F15*AD15</f>
        <v>19.8</v>
      </c>
      <c r="I15" s="4">
        <f>H15*AD15</f>
        <v>0</v>
      </c>
      <c r="K15" s="4">
        <f>J15*AD15</f>
        <v>0</v>
      </c>
      <c r="M15" s="4">
        <f>L15*AD15</f>
        <v>0</v>
      </c>
      <c r="O15" s="4">
        <f>N15*AD15</f>
        <v>0</v>
      </c>
      <c r="Q15" s="4">
        <f>P15*AD15</f>
        <v>0</v>
      </c>
      <c r="U15" s="4" t="s">
        <v>119</v>
      </c>
      <c r="AB15" s="33" t="s">
        <v>300</v>
      </c>
      <c r="AC15" s="4">
        <f>B15+D15+F15+H15+J15+L15+N15+P15</f>
        <v>227.5</v>
      </c>
      <c r="AD15" s="4">
        <v>0.18</v>
      </c>
      <c r="AE15" s="24">
        <f>AC15*AD15</f>
        <v>40.949999999999996</v>
      </c>
      <c r="AG15" s="4">
        <v>14</v>
      </c>
      <c r="AI15" s="4" t="s">
        <v>194</v>
      </c>
      <c r="AJ15" s="4">
        <f>SUM(Q2:Q60)</f>
        <v>0</v>
      </c>
    </row>
    <row r="16" spans="1:35" ht="14.25">
      <c r="A16" s="2">
        <v>43054</v>
      </c>
      <c r="B16" s="4">
        <f>40.5+340*2</f>
        <v>720.5</v>
      </c>
      <c r="C16" s="4">
        <f>B16*AD16</f>
        <v>129.69</v>
      </c>
      <c r="D16" s="4">
        <f>73+52</f>
        <v>125</v>
      </c>
      <c r="E16" s="4">
        <f>D16*AD16</f>
        <v>22.5</v>
      </c>
      <c r="F16" s="4">
        <v>80</v>
      </c>
      <c r="G16" s="4">
        <f>F16*AD16</f>
        <v>14.399999999999999</v>
      </c>
      <c r="I16" s="4">
        <f>H16*AD16</f>
        <v>0</v>
      </c>
      <c r="K16" s="4">
        <f>J16*AD16</f>
        <v>0</v>
      </c>
      <c r="L16" s="4">
        <v>210</v>
      </c>
      <c r="M16" s="4">
        <f>L16*AD16</f>
        <v>37.8</v>
      </c>
      <c r="O16" s="4">
        <f>N16*AD16</f>
        <v>0</v>
      </c>
      <c r="Q16" s="4">
        <f>P16*AD16</f>
        <v>0</v>
      </c>
      <c r="T16" s="4" t="s">
        <v>119</v>
      </c>
      <c r="AB16" s="33" t="s">
        <v>301</v>
      </c>
      <c r="AC16" s="4">
        <f>B16+D16+F16+H16+J16+L16+N16+P16</f>
        <v>1135.5</v>
      </c>
      <c r="AD16" s="4">
        <v>0.18</v>
      </c>
      <c r="AE16" s="24">
        <f>AC16*AD16</f>
        <v>204.39</v>
      </c>
      <c r="AG16" s="4">
        <v>14</v>
      </c>
      <c r="AI16" s="30"/>
    </row>
    <row r="17" spans="1:44" ht="14.25">
      <c r="A17" s="27">
        <v>43055</v>
      </c>
      <c r="B17" s="4">
        <f>120*2+20*2</f>
        <v>280</v>
      </c>
      <c r="C17" s="4">
        <f>B17*AD17</f>
        <v>50.4</v>
      </c>
      <c r="D17" s="4">
        <f>52+18</f>
        <v>70</v>
      </c>
      <c r="E17" s="4">
        <f>D17*AD17</f>
        <v>12.6</v>
      </c>
      <c r="F17" s="4">
        <v>96</v>
      </c>
      <c r="G17" s="4">
        <f>F17*AD17</f>
        <v>17.28</v>
      </c>
      <c r="I17" s="4">
        <f>H17*AD17</f>
        <v>0</v>
      </c>
      <c r="J17" s="4">
        <v>24</v>
      </c>
      <c r="K17" s="4">
        <f>J17*AD17</f>
        <v>4.32</v>
      </c>
      <c r="L17" s="4">
        <v>280</v>
      </c>
      <c r="M17" s="4">
        <f>L17*AD17</f>
        <v>50.4</v>
      </c>
      <c r="O17" s="4">
        <f>N17*AD17</f>
        <v>0</v>
      </c>
      <c r="Q17" s="4">
        <f>P17*AD17</f>
        <v>0</v>
      </c>
      <c r="T17" s="4" t="s">
        <v>119</v>
      </c>
      <c r="AB17" s="33" t="s">
        <v>302</v>
      </c>
      <c r="AC17" s="4">
        <f>B17+D17+F17+H17+J17+L17+N17+P17</f>
        <v>750</v>
      </c>
      <c r="AD17" s="4">
        <v>0.18</v>
      </c>
      <c r="AE17" s="24">
        <f>AC17*AD17</f>
        <v>135</v>
      </c>
      <c r="AG17" s="4">
        <v>14</v>
      </c>
      <c r="AR17" s="25"/>
    </row>
    <row r="18" spans="1:44" ht="14.25">
      <c r="A18" s="27">
        <v>43056</v>
      </c>
      <c r="B18" s="4">
        <f>20*2+185*2+8*2</f>
        <v>426</v>
      </c>
      <c r="C18" s="4">
        <f>B18*AD18</f>
        <v>76.67999999999999</v>
      </c>
      <c r="D18" s="4">
        <f>210</f>
        <v>210</v>
      </c>
      <c r="E18" s="4">
        <f>D18*AD18</f>
        <v>37.8</v>
      </c>
      <c r="G18" s="4">
        <f>F18*AD18</f>
        <v>0</v>
      </c>
      <c r="I18" s="4">
        <f>H18*AD18</f>
        <v>0</v>
      </c>
      <c r="J18" s="4">
        <v>30</v>
      </c>
      <c r="K18" s="4">
        <f>J18*AD18</f>
        <v>5.3999999999999995</v>
      </c>
      <c r="L18" s="4">
        <v>210</v>
      </c>
      <c r="M18" s="4">
        <f>L18*AD18</f>
        <v>37.8</v>
      </c>
      <c r="O18" s="4">
        <f>N18*AD18</f>
        <v>0</v>
      </c>
      <c r="Q18" s="4">
        <f>P18*AD18</f>
        <v>0</v>
      </c>
      <c r="T18" s="4" t="s">
        <v>119</v>
      </c>
      <c r="AB18" s="33" t="s">
        <v>303</v>
      </c>
      <c r="AC18" s="4">
        <f>B18+D18+F18+H18+J18+L18+N18+P18</f>
        <v>876</v>
      </c>
      <c r="AD18" s="4">
        <v>0.18</v>
      </c>
      <c r="AE18" s="24">
        <f>AC18*AD18</f>
        <v>157.68</v>
      </c>
      <c r="AG18" s="4">
        <v>14</v>
      </c>
      <c r="AI18" s="4" t="s">
        <v>256</v>
      </c>
      <c r="AJ18" s="4">
        <f>SUM(AA2:AA50)</f>
        <v>0</v>
      </c>
      <c r="AR18" s="25"/>
    </row>
    <row r="19" spans="1:33" ht="14.25">
      <c r="A19" s="27">
        <v>43057</v>
      </c>
      <c r="C19" s="4">
        <f>B19*AD19</f>
        <v>0</v>
      </c>
      <c r="D19" s="4">
        <f>83</f>
        <v>83</v>
      </c>
      <c r="E19" s="4">
        <f>D19*AD19</f>
        <v>14.94</v>
      </c>
      <c r="F19" s="4">
        <v>86</v>
      </c>
      <c r="G19" s="4">
        <f>F19*AD19</f>
        <v>15.479999999999999</v>
      </c>
      <c r="I19" s="4">
        <f>H19*AD19</f>
        <v>0</v>
      </c>
      <c r="K19" s="4">
        <f>J19*AD19</f>
        <v>0</v>
      </c>
      <c r="L19" s="4">
        <v>210</v>
      </c>
      <c r="M19" s="4">
        <f>L19*AD19</f>
        <v>37.8</v>
      </c>
      <c r="O19" s="4">
        <f>N19*AD19</f>
        <v>0</v>
      </c>
      <c r="Q19" s="4">
        <f>P19*AD19</f>
        <v>0</v>
      </c>
      <c r="T19" s="4" t="s">
        <v>119</v>
      </c>
      <c r="AB19" s="33" t="s">
        <v>304</v>
      </c>
      <c r="AC19" s="4">
        <f>B19+D19+F19+H19+J19+L19+N19+P19</f>
        <v>379</v>
      </c>
      <c r="AD19" s="4">
        <v>0.18</v>
      </c>
      <c r="AE19" s="24">
        <f>AC19*AD19</f>
        <v>68.22</v>
      </c>
      <c r="AG19" s="4">
        <v>14</v>
      </c>
    </row>
    <row r="20" spans="1:33" ht="14.25">
      <c r="A20" s="27">
        <v>43058</v>
      </c>
      <c r="B20" s="4">
        <f>143*2+8*4</f>
        <v>318</v>
      </c>
      <c r="C20" s="4">
        <f>B20*AD20</f>
        <v>57.239999999999995</v>
      </c>
      <c r="D20" s="4">
        <f>60+12+12</f>
        <v>84</v>
      </c>
      <c r="E20" s="4">
        <f>D20*AD20</f>
        <v>15.12</v>
      </c>
      <c r="F20" s="4">
        <v>76</v>
      </c>
      <c r="G20" s="4">
        <f>F20*AD20</f>
        <v>13.68</v>
      </c>
      <c r="I20" s="4">
        <f>H20*AD20</f>
        <v>0</v>
      </c>
      <c r="K20" s="4">
        <f>J20*AD20</f>
        <v>0</v>
      </c>
      <c r="L20" s="4">
        <v>170</v>
      </c>
      <c r="M20" s="4">
        <f>L20*AD20</f>
        <v>30.599999999999998</v>
      </c>
      <c r="O20" s="4">
        <f>N20*AD20</f>
        <v>0</v>
      </c>
      <c r="Q20" s="4">
        <f>P20*AD20</f>
        <v>0</v>
      </c>
      <c r="T20" s="4" t="s">
        <v>119</v>
      </c>
      <c r="AB20" s="33" t="s">
        <v>305</v>
      </c>
      <c r="AC20" s="4">
        <f>B20+D20+F20+H20+J20+L20+N20+P20</f>
        <v>648</v>
      </c>
      <c r="AD20" s="4">
        <v>0.18</v>
      </c>
      <c r="AE20" s="24">
        <f>AC20*AD20</f>
        <v>116.64</v>
      </c>
      <c r="AG20" s="4">
        <v>14</v>
      </c>
    </row>
    <row r="21" spans="1:33" ht="14.25">
      <c r="A21" s="2">
        <v>43059</v>
      </c>
      <c r="B21" s="4">
        <f>22*4+30*4</f>
        <v>208</v>
      </c>
      <c r="C21" s="4">
        <f>B21*AD21</f>
        <v>37.44</v>
      </c>
      <c r="D21" s="4">
        <f>34+9+75</f>
        <v>118</v>
      </c>
      <c r="E21" s="4">
        <f>D21*AD21</f>
        <v>21.24</v>
      </c>
      <c r="G21" s="4">
        <f>F21*AD21</f>
        <v>0</v>
      </c>
      <c r="H21" s="4">
        <f>50*2+40</f>
        <v>140</v>
      </c>
      <c r="I21" s="4">
        <f>H21*AD21</f>
        <v>25.2</v>
      </c>
      <c r="J21" s="4">
        <v>10</v>
      </c>
      <c r="K21" s="4">
        <f>J21*AD21</f>
        <v>1.7999999999999998</v>
      </c>
      <c r="L21" s="4">
        <v>170</v>
      </c>
      <c r="M21" s="4">
        <f>L21*AD21</f>
        <v>30.599999999999998</v>
      </c>
      <c r="O21" s="4">
        <f>N21*AD21</f>
        <v>0</v>
      </c>
      <c r="Q21" s="4">
        <f>P21*AD21</f>
        <v>0</v>
      </c>
      <c r="T21" s="4" t="s">
        <v>119</v>
      </c>
      <c r="AB21" s="33" t="s">
        <v>306</v>
      </c>
      <c r="AC21" s="4">
        <f>B21+D21+F21+H21+J21+L21+N21+P21</f>
        <v>646</v>
      </c>
      <c r="AD21" s="4">
        <v>0.18</v>
      </c>
      <c r="AE21" s="24">
        <f>AC21*AD21</f>
        <v>116.28</v>
      </c>
      <c r="AG21" s="4">
        <v>14</v>
      </c>
    </row>
    <row r="22" spans="1:33" ht="14.25">
      <c r="A22" s="27">
        <v>43060</v>
      </c>
      <c r="B22" s="4">
        <f>221*2</f>
        <v>442</v>
      </c>
      <c r="C22" s="4">
        <f>B22*AD22</f>
        <v>79.56</v>
      </c>
      <c r="D22" s="4">
        <f>243+25</f>
        <v>268</v>
      </c>
      <c r="E22" s="4">
        <f>D22*AD22</f>
        <v>48.239999999999995</v>
      </c>
      <c r="F22" s="4">
        <v>20</v>
      </c>
      <c r="G22" s="4">
        <f>F22*AD22</f>
        <v>3.5999999999999996</v>
      </c>
      <c r="I22" s="4">
        <f>H22*AD22</f>
        <v>0</v>
      </c>
      <c r="J22" s="4">
        <v>5</v>
      </c>
      <c r="K22" s="4">
        <f>J22*AD22</f>
        <v>0.8999999999999999</v>
      </c>
      <c r="L22" s="4">
        <v>200</v>
      </c>
      <c r="M22" s="4">
        <f>L22*AD22</f>
        <v>36</v>
      </c>
      <c r="O22" s="4">
        <f>N22*AD22</f>
        <v>0</v>
      </c>
      <c r="Q22" s="4">
        <f>P22*AD22</f>
        <v>0</v>
      </c>
      <c r="Y22" s="4" t="s">
        <v>119</v>
      </c>
      <c r="AB22" s="33" t="s">
        <v>307</v>
      </c>
      <c r="AC22" s="4">
        <f>B22+D22+F22+H22+J22+L22+N22+P22</f>
        <v>935</v>
      </c>
      <c r="AD22" s="4">
        <v>0.18</v>
      </c>
      <c r="AE22" s="24">
        <f>AC22*AD22</f>
        <v>168.29999999999998</v>
      </c>
      <c r="AG22" s="4">
        <v>14</v>
      </c>
    </row>
    <row r="23" spans="1:33" ht="14.25">
      <c r="A23" s="27">
        <v>43061</v>
      </c>
      <c r="C23" s="4">
        <f>B23*AD23</f>
        <v>0</v>
      </c>
      <c r="D23" s="4">
        <v>126</v>
      </c>
      <c r="E23" s="4">
        <f>D23*AD23</f>
        <v>22.68</v>
      </c>
      <c r="G23" s="4">
        <f>F23*AD23</f>
        <v>0</v>
      </c>
      <c r="I23" s="4">
        <f>H23*AD23</f>
        <v>0</v>
      </c>
      <c r="J23" s="4">
        <f>29*2</f>
        <v>58</v>
      </c>
      <c r="K23" s="4">
        <f>J23*AD23</f>
        <v>10.44</v>
      </c>
      <c r="L23" s="4">
        <v>200</v>
      </c>
      <c r="M23" s="4">
        <f>L23*AD23</f>
        <v>36</v>
      </c>
      <c r="O23" s="4">
        <f>N23*AD23</f>
        <v>0</v>
      </c>
      <c r="Q23" s="4">
        <f>P23*AD23</f>
        <v>0</v>
      </c>
      <c r="Y23" s="4" t="s">
        <v>119</v>
      </c>
      <c r="AB23" s="33" t="s">
        <v>289</v>
      </c>
      <c r="AC23" s="4">
        <f>B23+D23+F23+H23+J23+L23+N23+P23</f>
        <v>384</v>
      </c>
      <c r="AD23" s="4">
        <v>0.18</v>
      </c>
      <c r="AE23" s="24">
        <f>AC23*AD23</f>
        <v>69.12</v>
      </c>
      <c r="AG23" s="4">
        <v>14</v>
      </c>
    </row>
    <row r="24" spans="1:33" ht="12.75">
      <c r="A24" s="27">
        <v>43062</v>
      </c>
      <c r="C24" s="4">
        <f>B24*AD24</f>
        <v>0</v>
      </c>
      <c r="D24" s="4">
        <v>227</v>
      </c>
      <c r="E24" s="4">
        <f>D24*AD24</f>
        <v>40.86</v>
      </c>
      <c r="G24" s="4">
        <f>F24*AD24</f>
        <v>0</v>
      </c>
      <c r="I24" s="4">
        <f>H24*AD24</f>
        <v>0</v>
      </c>
      <c r="K24" s="4">
        <f>J24*AD24</f>
        <v>0</v>
      </c>
      <c r="L24" s="4">
        <v>253</v>
      </c>
      <c r="M24" s="4">
        <f>L24*AD24</f>
        <v>45.54</v>
      </c>
      <c r="O24" s="4">
        <f>N24*AD24</f>
        <v>0</v>
      </c>
      <c r="Q24" s="4">
        <f>P24*AD24</f>
        <v>0</v>
      </c>
      <c r="Y24" s="4" t="s">
        <v>119</v>
      </c>
      <c r="AB24" s="33" t="s">
        <v>289</v>
      </c>
      <c r="AC24" s="4">
        <f>B24+D24+F24+H24+J24+L24+N24+P24</f>
        <v>480</v>
      </c>
      <c r="AD24" s="4">
        <v>0.18</v>
      </c>
      <c r="AE24" s="24">
        <f>AC24*AD24</f>
        <v>86.39999999999999</v>
      </c>
      <c r="AG24" s="4">
        <v>14</v>
      </c>
    </row>
    <row r="25" spans="1:33" ht="14.25">
      <c r="A25" s="27">
        <v>43063</v>
      </c>
      <c r="C25" s="4">
        <f>B25*AD25</f>
        <v>0</v>
      </c>
      <c r="D25" s="4">
        <v>97</v>
      </c>
      <c r="E25" s="4">
        <f>D25*AD25</f>
        <v>17.46</v>
      </c>
      <c r="G25" s="4">
        <f>F25*AD25</f>
        <v>0</v>
      </c>
      <c r="I25" s="4">
        <f>H25*AD25</f>
        <v>0</v>
      </c>
      <c r="K25" s="4">
        <f>J25*AD25</f>
        <v>0</v>
      </c>
      <c r="L25" s="4">
        <v>253</v>
      </c>
      <c r="M25" s="4">
        <f>L25*AD25</f>
        <v>45.54</v>
      </c>
      <c r="O25" s="4">
        <f>N25*AD25</f>
        <v>0</v>
      </c>
      <c r="Q25" s="4">
        <f>P25*AD25</f>
        <v>0</v>
      </c>
      <c r="Y25" s="4" t="s">
        <v>119</v>
      </c>
      <c r="AB25" s="33" t="s">
        <v>289</v>
      </c>
      <c r="AC25" s="4">
        <f>B25+D25+F25+H25+J25+L25+N25+P25</f>
        <v>350</v>
      </c>
      <c r="AD25" s="4">
        <v>0.18</v>
      </c>
      <c r="AE25" s="24">
        <f>AC25*AD25</f>
        <v>63</v>
      </c>
      <c r="AG25" s="4">
        <v>14</v>
      </c>
    </row>
    <row r="26" spans="1:33" ht="14.25">
      <c r="A26" s="27">
        <v>43064</v>
      </c>
      <c r="B26" s="4">
        <f>5*6</f>
        <v>30</v>
      </c>
      <c r="C26" s="4">
        <f>B26*AD26</f>
        <v>5.3999999999999995</v>
      </c>
      <c r="D26" s="4">
        <f>445+100+39</f>
        <v>584</v>
      </c>
      <c r="E26" s="4">
        <f>D26*AD26</f>
        <v>105.11999999999999</v>
      </c>
      <c r="G26" s="4">
        <f>F26*AD26</f>
        <v>0</v>
      </c>
      <c r="I26" s="4">
        <f>H26*AD26</f>
        <v>0</v>
      </c>
      <c r="K26" s="4">
        <f>J26*AD26</f>
        <v>0</v>
      </c>
      <c r="L26" s="4">
        <v>253</v>
      </c>
      <c r="M26" s="4">
        <f>L26*AD26</f>
        <v>45.54</v>
      </c>
      <c r="O26" s="4">
        <f>N26*AD26</f>
        <v>0</v>
      </c>
      <c r="Q26" s="4">
        <f>P26*AD26</f>
        <v>0</v>
      </c>
      <c r="Y26" s="4" t="s">
        <v>119</v>
      </c>
      <c r="AB26" s="4" t="s">
        <v>289</v>
      </c>
      <c r="AC26" s="4">
        <f>B26+D26+F26+H26+J26+L26+N26+P26</f>
        <v>867</v>
      </c>
      <c r="AD26" s="4">
        <v>0.18</v>
      </c>
      <c r="AE26" s="24">
        <f>AC26*AD26</f>
        <v>156.06</v>
      </c>
      <c r="AG26" s="4">
        <v>14</v>
      </c>
    </row>
    <row r="27" spans="1:33" ht="14.25">
      <c r="A27" s="27">
        <v>43065</v>
      </c>
      <c r="C27" s="4">
        <f>B27*AD27</f>
        <v>0</v>
      </c>
      <c r="D27" s="4">
        <v>381</v>
      </c>
      <c r="E27" s="4">
        <f>D27*AD27</f>
        <v>68.58</v>
      </c>
      <c r="G27" s="4">
        <f>F27*AD27</f>
        <v>0</v>
      </c>
      <c r="I27" s="4">
        <f>H27*AD27</f>
        <v>0</v>
      </c>
      <c r="K27" s="4">
        <f>J27*AD27</f>
        <v>0</v>
      </c>
      <c r="L27" s="4">
        <v>253</v>
      </c>
      <c r="M27" s="4">
        <f>L27*AD27</f>
        <v>45.54</v>
      </c>
      <c r="O27" s="4">
        <f>N27*AD27</f>
        <v>0</v>
      </c>
      <c r="Q27" s="4">
        <f>P27*AD27</f>
        <v>0</v>
      </c>
      <c r="Y27" s="4" t="s">
        <v>119</v>
      </c>
      <c r="AB27" s="4" t="s">
        <v>289</v>
      </c>
      <c r="AC27" s="4">
        <f>B27+D27+F27+H27+J27+L27+N27+P27</f>
        <v>634</v>
      </c>
      <c r="AD27" s="4">
        <v>0.18</v>
      </c>
      <c r="AE27" s="24">
        <f>AC27*AD27</f>
        <v>114.11999999999999</v>
      </c>
      <c r="AG27" s="4">
        <v>14</v>
      </c>
    </row>
    <row r="28" spans="1:33" ht="14.25">
      <c r="A28" s="27">
        <v>43066</v>
      </c>
      <c r="C28" s="4">
        <f>B28*AD28</f>
        <v>0</v>
      </c>
      <c r="D28" s="4">
        <f>62+35</f>
        <v>97</v>
      </c>
      <c r="E28" s="4">
        <f>D28*AD28</f>
        <v>17.46</v>
      </c>
      <c r="G28" s="4">
        <f>F28*AD28</f>
        <v>0</v>
      </c>
      <c r="I28" s="4">
        <f>H28*AD28</f>
        <v>0</v>
      </c>
      <c r="J28" s="4">
        <v>124</v>
      </c>
      <c r="K28" s="4">
        <f>J28*AD28</f>
        <v>22.32</v>
      </c>
      <c r="L28" s="4">
        <v>253</v>
      </c>
      <c r="M28" s="4">
        <f>L28*AD28</f>
        <v>45.54</v>
      </c>
      <c r="O28" s="4">
        <f>N28*AD28</f>
        <v>0</v>
      </c>
      <c r="Q28" s="4">
        <f>P28*AD28</f>
        <v>0</v>
      </c>
      <c r="Y28" s="4" t="s">
        <v>119</v>
      </c>
      <c r="AB28" s="4" t="s">
        <v>289</v>
      </c>
      <c r="AC28" s="4">
        <f>B28+D28+F28+H28+J28+L28+N28+P28</f>
        <v>474</v>
      </c>
      <c r="AD28" s="4">
        <v>0.18</v>
      </c>
      <c r="AE28" s="24">
        <f>AC28*AD28</f>
        <v>85.32</v>
      </c>
      <c r="AG28" s="4">
        <v>14</v>
      </c>
    </row>
    <row r="29" spans="1:33" ht="14.25">
      <c r="A29" s="27">
        <v>43067</v>
      </c>
      <c r="B29" s="4">
        <v>250</v>
      </c>
      <c r="C29" s="4">
        <f>B29*AD29</f>
        <v>45</v>
      </c>
      <c r="E29" s="4">
        <f>D29*AD29</f>
        <v>0</v>
      </c>
      <c r="G29" s="4">
        <f>F29*AD29</f>
        <v>0</v>
      </c>
      <c r="I29" s="4">
        <f>H29*AD29</f>
        <v>0</v>
      </c>
      <c r="K29" s="4">
        <f>J29*AD29</f>
        <v>0</v>
      </c>
      <c r="M29" s="4">
        <f>L29*AD29</f>
        <v>0</v>
      </c>
      <c r="O29" s="4">
        <f>N29*AD29</f>
        <v>0</v>
      </c>
      <c r="Q29" s="4">
        <f>P29*AD29</f>
        <v>0</v>
      </c>
      <c r="Z29" s="4" t="s">
        <v>119</v>
      </c>
      <c r="AB29" s="4" t="s">
        <v>308</v>
      </c>
      <c r="AC29" s="4">
        <f>B29+D29+F29+H29+J29+L29+N29+P29</f>
        <v>250</v>
      </c>
      <c r="AD29" s="4">
        <v>0.18</v>
      </c>
      <c r="AE29" s="24">
        <f>AC29*AD29</f>
        <v>45</v>
      </c>
      <c r="AG29" s="4">
        <v>14</v>
      </c>
    </row>
    <row r="30" spans="1:33" ht="14.25">
      <c r="A30" s="27"/>
      <c r="C30" s="4">
        <f>B30*AD30</f>
        <v>0</v>
      </c>
      <c r="D30" s="4">
        <v>7.9</v>
      </c>
      <c r="E30" s="4">
        <f>D30*AD30</f>
        <v>27.255000000000003</v>
      </c>
      <c r="F30" s="4">
        <v>19.91</v>
      </c>
      <c r="G30" s="4">
        <f>F30*AD30</f>
        <v>68.68950000000001</v>
      </c>
      <c r="I30" s="4">
        <f>H30*AD30</f>
        <v>0</v>
      </c>
      <c r="J30" s="4">
        <f>69+7.9+3.25</f>
        <v>80.15</v>
      </c>
      <c r="K30" s="4">
        <f>J30*AD30</f>
        <v>276.51750000000004</v>
      </c>
      <c r="M30" s="4">
        <f>L30*AD30</f>
        <v>0</v>
      </c>
      <c r="O30" s="4">
        <f>N30*AD30</f>
        <v>0</v>
      </c>
      <c r="Q30" s="4">
        <f>P30*AD30</f>
        <v>0</v>
      </c>
      <c r="AC30" s="4">
        <f>B30+D30+F30+H30+J30+L30+N30+P30</f>
        <v>107.96000000000001</v>
      </c>
      <c r="AD30" s="4">
        <v>3.45</v>
      </c>
      <c r="AE30" s="24">
        <f>AC30*AD30</f>
        <v>372.46200000000005</v>
      </c>
      <c r="AG30" s="4">
        <v>15</v>
      </c>
    </row>
    <row r="31" spans="1:31" ht="14.25">
      <c r="A31" s="27">
        <v>43068</v>
      </c>
      <c r="C31" s="4">
        <f>B31*AD31</f>
        <v>0</v>
      </c>
      <c r="E31" s="4">
        <f>D31*AD31</f>
        <v>0</v>
      </c>
      <c r="G31" s="4">
        <f>F31*AD31</f>
        <v>0</v>
      </c>
      <c r="I31" s="4">
        <f>H31*AD31</f>
        <v>0</v>
      </c>
      <c r="K31" s="4">
        <f>J31*AD31</f>
        <v>0</v>
      </c>
      <c r="M31" s="4">
        <f>L31*AD31</f>
        <v>0</v>
      </c>
      <c r="O31" s="4">
        <f>N31*AD31</f>
        <v>0</v>
      </c>
      <c r="Q31" s="4">
        <f>P31*AD31</f>
        <v>0</v>
      </c>
      <c r="Z31" s="4" t="s">
        <v>119</v>
      </c>
      <c r="AB31" s="4" t="s">
        <v>309</v>
      </c>
      <c r="AC31" s="4">
        <f>B31+D31+F31+H31+J31+L31+N31+P31</f>
        <v>0</v>
      </c>
      <c r="AD31" s="4">
        <v>0.18</v>
      </c>
      <c r="AE31" s="24">
        <f>AC31*AD31</f>
        <v>0</v>
      </c>
    </row>
    <row r="32" spans="1:33" ht="14.25">
      <c r="A32" s="27">
        <v>43069</v>
      </c>
      <c r="C32" s="4">
        <f>B32*AD32</f>
        <v>0</v>
      </c>
      <c r="E32" s="4">
        <f>D32*AD32</f>
        <v>0</v>
      </c>
      <c r="F32" s="4">
        <v>330</v>
      </c>
      <c r="G32" s="4">
        <f>F32*AD32</f>
        <v>37.761900000000004</v>
      </c>
      <c r="I32" s="4">
        <f>H32*AD32</f>
        <v>0</v>
      </c>
      <c r="J32" s="4">
        <v>60</v>
      </c>
      <c r="K32" s="4">
        <f>J32*AD32</f>
        <v>6.8658</v>
      </c>
      <c r="M32" s="4">
        <f>L32*AD32</f>
        <v>0</v>
      </c>
      <c r="N32" s="4">
        <v>17100</v>
      </c>
      <c r="O32" s="4">
        <f>N32*AD32</f>
        <v>1956.7530000000002</v>
      </c>
      <c r="Q32" s="4">
        <f>P32*AD32</f>
        <v>0</v>
      </c>
      <c r="T32" s="4" t="s">
        <v>119</v>
      </c>
      <c r="AB32" s="4" t="s">
        <v>310</v>
      </c>
      <c r="AC32" s="4">
        <f>B32+D32+F32+H32+J32+L32+N32+P32</f>
        <v>17490</v>
      </c>
      <c r="AD32" s="4">
        <v>0.11443</v>
      </c>
      <c r="AE32" s="24">
        <f>AC32*AD32</f>
        <v>2001.3807000000002</v>
      </c>
      <c r="AG32" s="4">
        <v>16</v>
      </c>
    </row>
    <row r="33" spans="1:33" ht="14.25">
      <c r="A33" s="25"/>
      <c r="B33" s="4">
        <v>460</v>
      </c>
      <c r="C33" s="4">
        <f>B33*AD33</f>
        <v>32.4898</v>
      </c>
      <c r="D33" s="4">
        <v>112</v>
      </c>
      <c r="E33" s="4">
        <f>D33*AD33</f>
        <v>7.910560000000001</v>
      </c>
      <c r="G33" s="4">
        <f>F33*AD33</f>
        <v>0</v>
      </c>
      <c r="I33" s="4">
        <f>H33*AD33</f>
        <v>0</v>
      </c>
      <c r="K33" s="4">
        <f>J33*AD33</f>
        <v>0</v>
      </c>
      <c r="L33" s="4">
        <v>1000</v>
      </c>
      <c r="M33" s="4">
        <f>L33*AD33</f>
        <v>70.63000000000001</v>
      </c>
      <c r="O33" s="4">
        <f>N33*AD33</f>
        <v>0</v>
      </c>
      <c r="Q33" s="4">
        <f>P33*AD33</f>
        <v>0</v>
      </c>
      <c r="AC33" s="4">
        <f>B33+D33+F33+H33+J33+L33+N33+P33</f>
        <v>1572</v>
      </c>
      <c r="AD33" s="4">
        <v>0.07063000000000001</v>
      </c>
      <c r="AE33" s="24">
        <f>AC33*AD33</f>
        <v>111.03036000000002</v>
      </c>
      <c r="AG33" s="4">
        <v>17</v>
      </c>
    </row>
    <row r="34" spans="1:33" ht="14.2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v>0.07063000000000001</v>
      </c>
      <c r="AE34" s="24">
        <f>AC34*AD34</f>
        <v>0</v>
      </c>
      <c r="AG34" s="4">
        <v>17</v>
      </c>
    </row>
    <row r="35" spans="2:31" ht="14.25">
      <c r="B35" s="4">
        <f>428+1150+2427</f>
        <v>4005</v>
      </c>
      <c r="C35" s="4">
        <f>B35*AD35</f>
        <v>4005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4005</v>
      </c>
      <c r="AD35" s="4">
        <v>1</v>
      </c>
      <c r="AE35" s="24">
        <f>AC35*AD35</f>
        <v>4005</v>
      </c>
    </row>
    <row r="36" spans="3:31" ht="14.2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v>0.07063000000000001</v>
      </c>
      <c r="AE36" s="24">
        <f>AC36*AD36</f>
        <v>0</v>
      </c>
    </row>
    <row r="37" spans="3:31" ht="14.2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v>0.07063000000000001</v>
      </c>
      <c r="AE37" s="24">
        <f>AC37*AD37</f>
        <v>0</v>
      </c>
    </row>
    <row r="38" spans="3:45" ht="14.2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  <c r="AS38" s="25"/>
    </row>
    <row r="39" spans="3:31" ht="14.2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4.2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4.2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4.2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0.1889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B1">
      <selection activeCell="AM1" sqref="AM1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9.8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4.625" style="4" customWidth="1"/>
    <col min="48" max="48" width="7.375" style="4" customWidth="1"/>
    <col min="49" max="49" width="10.625" style="4" customWidth="1"/>
    <col min="50" max="50" width="11.87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311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43070</v>
      </c>
      <c r="C2" s="4">
        <f>B2*AD2</f>
        <v>0</v>
      </c>
      <c r="D2" s="4">
        <f>128</f>
        <v>128</v>
      </c>
      <c r="E2" s="4">
        <f>D2*AD2</f>
        <v>9.040640000000002</v>
      </c>
      <c r="F2" s="4">
        <v>120</v>
      </c>
      <c r="G2" s="4">
        <f>F2*AD2</f>
        <v>8.475600000000002</v>
      </c>
      <c r="I2" s="4">
        <f>H2*AD2</f>
        <v>0</v>
      </c>
      <c r="K2" s="4">
        <f>J2*AD2</f>
        <v>0</v>
      </c>
      <c r="L2" s="4">
        <v>1000</v>
      </c>
      <c r="M2" s="4">
        <f>L2*AD2</f>
        <v>70.63000000000001</v>
      </c>
      <c r="N2" s="4">
        <f>700+350</f>
        <v>1050</v>
      </c>
      <c r="O2" s="4">
        <f>N2*AD2</f>
        <v>74.16150000000002</v>
      </c>
      <c r="Q2" s="4">
        <f>P2*AD2</f>
        <v>0</v>
      </c>
      <c r="T2" s="4" t="s">
        <v>119</v>
      </c>
      <c r="AB2" s="4" t="s">
        <v>312</v>
      </c>
      <c r="AC2" s="4">
        <f>B2+D2+F2+H2+J2+L2+N2+P2</f>
        <v>2298</v>
      </c>
      <c r="AD2" s="4">
        <v>0.07063000000000001</v>
      </c>
      <c r="AE2" s="24">
        <f>AC2*AD2</f>
        <v>162.30774000000002</v>
      </c>
      <c r="AG2" s="4">
        <v>17</v>
      </c>
      <c r="AI2" s="4" t="s">
        <v>121</v>
      </c>
      <c r="AJ2" s="4">
        <f>SUM($AE$2:$AE$994)</f>
        <v>7423.148726700001</v>
      </c>
      <c r="AL2" s="4" t="s">
        <v>122</v>
      </c>
      <c r="AM2" s="28">
        <f>$AJ$2/$AJ$5</f>
        <v>239.45641053870972</v>
      </c>
      <c r="AO2" s="4" t="s">
        <v>123</v>
      </c>
      <c r="AP2" s="4">
        <f>COUNTBLANK(L2:L40)-COUNTBLANK(A2:A40)</f>
        <v>6</v>
      </c>
      <c r="AQ2" s="29"/>
      <c r="AR2" s="29"/>
      <c r="AS2" s="29"/>
      <c r="AT2" s="29"/>
      <c r="AU2" s="29"/>
      <c r="AV2" s="29"/>
      <c r="AW2" s="29"/>
      <c r="AX2" s="29" t="s">
        <v>313</v>
      </c>
      <c r="AY2" s="29">
        <f>SUMIF($AG$2:$AG$44,"=17",$AE$2:$AE$44)</f>
        <v>7423.148726700001</v>
      </c>
      <c r="AZ2" s="29"/>
      <c r="BB2" s="5"/>
      <c r="BC2" s="5"/>
    </row>
    <row r="3" spans="1:55" ht="14.25">
      <c r="A3" s="27">
        <v>43071</v>
      </c>
      <c r="C3" s="4">
        <f>B3*AD3</f>
        <v>0</v>
      </c>
      <c r="D3" s="4">
        <f>403</f>
        <v>403</v>
      </c>
      <c r="E3" s="4">
        <f>D3*AD3</f>
        <v>28.463890000000006</v>
      </c>
      <c r="F3" s="4">
        <v>120</v>
      </c>
      <c r="G3" s="4">
        <f>F3*AD3</f>
        <v>8.475600000000002</v>
      </c>
      <c r="I3" s="4">
        <f>H3*AD3</f>
        <v>0</v>
      </c>
      <c r="K3" s="4">
        <f>J3*AD3</f>
        <v>0</v>
      </c>
      <c r="L3" s="4">
        <v>880</v>
      </c>
      <c r="M3" s="4">
        <f>L3*AD3</f>
        <v>62.15440000000001</v>
      </c>
      <c r="O3" s="4">
        <f>N3*AD3</f>
        <v>0</v>
      </c>
      <c r="Q3" s="4">
        <f>P3*AD3</f>
        <v>0</v>
      </c>
      <c r="Y3" s="4" t="s">
        <v>119</v>
      </c>
      <c r="AB3" s="4" t="s">
        <v>312</v>
      </c>
      <c r="AC3" s="4">
        <f>B3+D3+F3+H3+J3+L3+N3+P3</f>
        <v>1403</v>
      </c>
      <c r="AD3" s="4">
        <v>0.07063000000000001</v>
      </c>
      <c r="AE3" s="24">
        <f>AC3*AD3</f>
        <v>99.09389000000002</v>
      </c>
      <c r="AG3" s="4">
        <v>17</v>
      </c>
      <c r="AI3" s="30"/>
      <c r="AL3" s="30"/>
      <c r="AM3" s="28"/>
      <c r="AO3" s="4" t="s">
        <v>126</v>
      </c>
      <c r="AP3" s="4">
        <f>COUNT(L2:L36)</f>
        <v>25</v>
      </c>
      <c r="AR3" s="29"/>
      <c r="AS3" s="29"/>
      <c r="AT3" s="29"/>
      <c r="AU3" s="29"/>
      <c r="AV3" s="29"/>
      <c r="AW3" s="29"/>
      <c r="AX3" s="29" t="s">
        <v>314</v>
      </c>
      <c r="AY3" s="29">
        <f>_xlfn.COUNTIFS($A$2:$A$44,"&lt;&gt;''",$AG$2:$AG$44,"=17")</f>
        <v>31</v>
      </c>
      <c r="AZ3" s="29"/>
      <c r="BB3" s="5"/>
      <c r="BC3" s="5"/>
    </row>
    <row r="4" spans="1:55" ht="14.25">
      <c r="A4" s="27">
        <v>43072</v>
      </c>
      <c r="B4" s="4">
        <f>1200*2</f>
        <v>2400</v>
      </c>
      <c r="C4" s="4">
        <f>B4*AD4</f>
        <v>169.51200000000003</v>
      </c>
      <c r="D4" s="4">
        <f>173+30</f>
        <v>203</v>
      </c>
      <c r="E4" s="4">
        <f>D4*AD4</f>
        <v>14.337890000000003</v>
      </c>
      <c r="F4" s="4">
        <f>120+30</f>
        <v>150</v>
      </c>
      <c r="G4" s="4">
        <f>F4*AD4</f>
        <v>10.594500000000002</v>
      </c>
      <c r="I4" s="4">
        <f>H4*AD4</f>
        <v>0</v>
      </c>
      <c r="K4" s="4">
        <f>J4*AD4</f>
        <v>0</v>
      </c>
      <c r="L4" s="4">
        <v>880</v>
      </c>
      <c r="M4" s="4">
        <f>L4*AD4</f>
        <v>62.15440000000001</v>
      </c>
      <c r="O4" s="4">
        <f>N4*AD4</f>
        <v>0</v>
      </c>
      <c r="Q4" s="4">
        <f>P4*AD4</f>
        <v>0</v>
      </c>
      <c r="Y4" s="4" t="s">
        <v>119</v>
      </c>
      <c r="AB4" s="4" t="s">
        <v>312</v>
      </c>
      <c r="AC4" s="4">
        <f>B4+D4+F4+H4+J4+L4+N4+P4</f>
        <v>3633</v>
      </c>
      <c r="AD4" s="4">
        <v>0.07063000000000001</v>
      </c>
      <c r="AE4" s="24">
        <f>AC4*AD4</f>
        <v>256.59879000000006</v>
      </c>
      <c r="AG4" s="4">
        <v>17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/>
      <c r="AW4" s="29"/>
      <c r="AX4" s="29" t="s">
        <v>315</v>
      </c>
      <c r="AY4" s="29">
        <f>AY2/AY3</f>
        <v>239.45641053870972</v>
      </c>
      <c r="AZ4" s="29"/>
      <c r="BB4" s="5"/>
      <c r="BC4" s="5"/>
    </row>
    <row r="5" spans="1:42" ht="14.25">
      <c r="A5" s="27">
        <v>43073</v>
      </c>
      <c r="C5" s="4">
        <f>B5*AD5</f>
        <v>0</v>
      </c>
      <c r="D5" s="4">
        <f>178+35</f>
        <v>213</v>
      </c>
      <c r="E5" s="4">
        <f>D5*AD5</f>
        <v>15.044190000000002</v>
      </c>
      <c r="F5" s="4">
        <v>168</v>
      </c>
      <c r="G5" s="4">
        <f>F5*AD5</f>
        <v>11.865840000000002</v>
      </c>
      <c r="I5" s="4">
        <f>H5*AD5</f>
        <v>0</v>
      </c>
      <c r="J5" s="4">
        <f>188+88+720</f>
        <v>996</v>
      </c>
      <c r="K5" s="4">
        <f>J5*AD5</f>
        <v>70.34748000000002</v>
      </c>
      <c r="L5" s="4">
        <v>880</v>
      </c>
      <c r="M5" s="4">
        <f>L5*AD5</f>
        <v>62.15440000000001</v>
      </c>
      <c r="O5" s="4">
        <f>N5*AD5</f>
        <v>0</v>
      </c>
      <c r="Q5" s="4">
        <f>P5*AD5</f>
        <v>0</v>
      </c>
      <c r="Y5" s="4" t="s">
        <v>119</v>
      </c>
      <c r="AB5" s="4" t="s">
        <v>312</v>
      </c>
      <c r="AC5" s="4">
        <f>B5+D5+F5+H5+J5+L5+N5+P5</f>
        <v>2257</v>
      </c>
      <c r="AD5" s="4">
        <v>0.07063000000000001</v>
      </c>
      <c r="AE5" s="24">
        <f>AC5*AD5</f>
        <v>159.41191000000003</v>
      </c>
      <c r="AG5" s="4">
        <v>17</v>
      </c>
      <c r="AI5" s="4" t="s">
        <v>134</v>
      </c>
      <c r="AJ5" s="4">
        <f>COUNTA(A2:A349)</f>
        <v>31</v>
      </c>
      <c r="AO5" s="4" t="s">
        <v>135</v>
      </c>
      <c r="AP5" s="4">
        <f>COUNTA(R2:R49)</f>
        <v>0</v>
      </c>
    </row>
    <row r="6" spans="1:42" ht="14.25">
      <c r="A6" s="27">
        <v>43074</v>
      </c>
      <c r="B6" s="4">
        <v>250</v>
      </c>
      <c r="C6" s="4">
        <f>B6*AD6</f>
        <v>17.657500000000002</v>
      </c>
      <c r="E6" s="4">
        <f>D6*AD6</f>
        <v>0</v>
      </c>
      <c r="F6" s="4">
        <f>40*3</f>
        <v>120</v>
      </c>
      <c r="G6" s="4">
        <f>F6*AD6</f>
        <v>8.475600000000002</v>
      </c>
      <c r="I6" s="4">
        <f>H6*AD6</f>
        <v>0</v>
      </c>
      <c r="J6" s="4">
        <v>190</v>
      </c>
      <c r="K6" s="4">
        <f>J6*AD6</f>
        <v>13.419700000000002</v>
      </c>
      <c r="M6" s="4">
        <f>L6*AD6</f>
        <v>0</v>
      </c>
      <c r="O6" s="4">
        <f>N6*AD6</f>
        <v>0</v>
      </c>
      <c r="Q6" s="4">
        <f>P6*AD6</f>
        <v>0</v>
      </c>
      <c r="Z6" s="4" t="s">
        <v>119</v>
      </c>
      <c r="AB6" s="4" t="s">
        <v>316</v>
      </c>
      <c r="AC6" s="4">
        <f>B6+D6+F6+H6+J6+L6+N6+P6</f>
        <v>560</v>
      </c>
      <c r="AD6" s="4">
        <v>0.07063000000000001</v>
      </c>
      <c r="AE6" s="24">
        <f>AC6*AD6</f>
        <v>39.552800000000005</v>
      </c>
      <c r="AG6" s="4">
        <v>17</v>
      </c>
      <c r="AI6" s="30"/>
      <c r="AO6" s="4" t="s">
        <v>136</v>
      </c>
      <c r="AP6" s="4">
        <f>COUNTA(T2:T49)</f>
        <v>21</v>
      </c>
    </row>
    <row r="7" spans="1:42" ht="14.25">
      <c r="A7" s="27">
        <v>43075</v>
      </c>
      <c r="C7" s="4">
        <f>B7*AD7</f>
        <v>0</v>
      </c>
      <c r="D7" s="4">
        <f>96+65+45</f>
        <v>206</v>
      </c>
      <c r="E7" s="4">
        <f>D7*AD7</f>
        <v>14.549780000000002</v>
      </c>
      <c r="F7" s="4">
        <v>150</v>
      </c>
      <c r="G7" s="4">
        <f>F7*AD7</f>
        <v>10.594500000000002</v>
      </c>
      <c r="I7" s="4">
        <f>H7*AD7</f>
        <v>0</v>
      </c>
      <c r="K7" s="4">
        <f>J7*AD7</f>
        <v>0</v>
      </c>
      <c r="L7" s="4">
        <v>600</v>
      </c>
      <c r="M7" s="4">
        <f>L7*AD7</f>
        <v>42.37800000000001</v>
      </c>
      <c r="O7" s="4">
        <f>N7*AD7</f>
        <v>0</v>
      </c>
      <c r="Q7" s="4">
        <f>P7*AD7</f>
        <v>0</v>
      </c>
      <c r="T7" s="4" t="s">
        <v>119</v>
      </c>
      <c r="AB7" s="4" t="s">
        <v>317</v>
      </c>
      <c r="AC7" s="4">
        <f>B7+D7+F7+H7+J7+L7+N7+P7</f>
        <v>956</v>
      </c>
      <c r="AD7" s="4">
        <v>0.07063000000000001</v>
      </c>
      <c r="AE7" s="24">
        <f>AC7*AD7</f>
        <v>67.52228000000001</v>
      </c>
      <c r="AG7" s="4">
        <v>17</v>
      </c>
      <c r="AL7" s="4" t="s">
        <v>138</v>
      </c>
      <c r="AO7" s="4" t="s">
        <v>109</v>
      </c>
      <c r="AP7" s="4">
        <f>COUNTA(U2:U49)</f>
        <v>0</v>
      </c>
    </row>
    <row r="8" spans="1:42" ht="14.25">
      <c r="A8" s="27">
        <v>43076</v>
      </c>
      <c r="C8" s="4">
        <f>B8*AD8</f>
        <v>0</v>
      </c>
      <c r="D8" s="4">
        <f>30+40</f>
        <v>70</v>
      </c>
      <c r="E8" s="4">
        <f>D8*AD8</f>
        <v>4.944100000000001</v>
      </c>
      <c r="F8" s="4">
        <v>120</v>
      </c>
      <c r="G8" s="4">
        <f>F8*AD8</f>
        <v>8.475600000000002</v>
      </c>
      <c r="H8" s="4">
        <f>1300*2+50*2</f>
        <v>2700</v>
      </c>
      <c r="I8" s="4">
        <f>H8*AD8</f>
        <v>190.70100000000002</v>
      </c>
      <c r="K8" s="4">
        <f>J8*AD8</f>
        <v>0</v>
      </c>
      <c r="L8" s="4">
        <v>600</v>
      </c>
      <c r="M8" s="4">
        <f>L8*AD8</f>
        <v>42.37800000000001</v>
      </c>
      <c r="O8" s="4">
        <f>N8*AD8</f>
        <v>0</v>
      </c>
      <c r="Q8" s="4">
        <f>P8*AD8</f>
        <v>0</v>
      </c>
      <c r="T8" s="4" t="s">
        <v>119</v>
      </c>
      <c r="AB8" s="4" t="s">
        <v>317</v>
      </c>
      <c r="AC8" s="4">
        <f>B8+D8+F8+H8+J8+L8+N8+P8</f>
        <v>3490</v>
      </c>
      <c r="AD8" s="4">
        <v>0.07063000000000001</v>
      </c>
      <c r="AE8" s="24">
        <f>AC8*AD8</f>
        <v>246.49870000000004</v>
      </c>
      <c r="AG8" s="4">
        <v>17</v>
      </c>
      <c r="AI8" s="4" t="s">
        <v>140</v>
      </c>
      <c r="AJ8" s="26">
        <f>SUM(M2:M994)</f>
        <v>1303.5924831999998</v>
      </c>
      <c r="AL8" s="4" t="s">
        <v>103</v>
      </c>
      <c r="AM8" s="26">
        <f>AJ8/$AJ$5</f>
        <v>42.05137042580645</v>
      </c>
      <c r="AO8" s="4" t="s">
        <v>141</v>
      </c>
      <c r="AP8" s="4">
        <f>COUNTA(S2:S49)</f>
        <v>0</v>
      </c>
    </row>
    <row r="9" spans="1:42" ht="14.25">
      <c r="A9" s="27">
        <v>43077</v>
      </c>
      <c r="B9" s="1">
        <f>1100*2</f>
        <v>2200</v>
      </c>
      <c r="C9" s="4">
        <f>B9*AD9</f>
        <v>155.38600000000002</v>
      </c>
      <c r="D9" s="4">
        <f>30+40+204</f>
        <v>274</v>
      </c>
      <c r="E9" s="4">
        <f>D9*AD9</f>
        <v>19.35262</v>
      </c>
      <c r="F9" s="4">
        <f>85*2</f>
        <v>170</v>
      </c>
      <c r="G9" s="4">
        <f>F9*AD9</f>
        <v>12.007100000000001</v>
      </c>
      <c r="I9" s="4">
        <f>H9*AD9</f>
        <v>0</v>
      </c>
      <c r="J9" s="4">
        <v>20</v>
      </c>
      <c r="K9" s="4">
        <f>J9*AD9</f>
        <v>1.4126000000000003</v>
      </c>
      <c r="L9" s="4">
        <v>600</v>
      </c>
      <c r="M9" s="4">
        <f>L9*AD9</f>
        <v>42.37800000000001</v>
      </c>
      <c r="O9" s="4">
        <f>N9*AD9</f>
        <v>0</v>
      </c>
      <c r="Q9" s="4">
        <f>P9*AD9</f>
        <v>0</v>
      </c>
      <c r="T9" s="4" t="s">
        <v>119</v>
      </c>
      <c r="AB9" s="4" t="s">
        <v>317</v>
      </c>
      <c r="AC9" s="4">
        <f>B9+D9+F9+H9+J9+L9+N9+P9</f>
        <v>3264</v>
      </c>
      <c r="AD9" s="4">
        <v>0.07063000000000001</v>
      </c>
      <c r="AE9" s="24">
        <f>AC9*AD9</f>
        <v>230.53632000000005</v>
      </c>
      <c r="AG9" s="4">
        <v>17</v>
      </c>
      <c r="AI9" s="4" t="s">
        <v>143</v>
      </c>
      <c r="AJ9" s="26">
        <f>SUM(C2:C994)</f>
        <v>4801.2472935000005</v>
      </c>
      <c r="AL9" s="4" t="s">
        <v>93</v>
      </c>
      <c r="AM9" s="4">
        <f>AJ9/$AJ$5</f>
        <v>154.8789449516129</v>
      </c>
      <c r="AO9" s="4" t="s">
        <v>110</v>
      </c>
      <c r="AP9" s="4">
        <f>COUNTA(V2:V50)</f>
        <v>0</v>
      </c>
    </row>
    <row r="10" spans="1:42" ht="14.25">
      <c r="A10" s="27">
        <v>43078</v>
      </c>
      <c r="B10" s="4">
        <v>50</v>
      </c>
      <c r="C10" s="4">
        <f>B10*AD10</f>
        <v>3.5315000000000007</v>
      </c>
      <c r="D10" s="4">
        <f>30+50</f>
        <v>80</v>
      </c>
      <c r="E10" s="4">
        <f>D10*AD10</f>
        <v>5.650400000000001</v>
      </c>
      <c r="F10" s="4">
        <f>140+20</f>
        <v>160</v>
      </c>
      <c r="G10" s="4">
        <f>F10*AD10</f>
        <v>11.300800000000002</v>
      </c>
      <c r="I10" s="4">
        <f>H10*AD10</f>
        <v>0</v>
      </c>
      <c r="K10" s="4">
        <f>J10*AD10</f>
        <v>0</v>
      </c>
      <c r="L10" s="4">
        <v>600</v>
      </c>
      <c r="M10" s="4">
        <f>L10*AD10</f>
        <v>42.37800000000001</v>
      </c>
      <c r="O10" s="4">
        <f>N10*AD10</f>
        <v>0</v>
      </c>
      <c r="Q10" s="4">
        <f>P10*AD10</f>
        <v>0</v>
      </c>
      <c r="T10" s="4" t="s">
        <v>119</v>
      </c>
      <c r="AB10" s="4" t="s">
        <v>318</v>
      </c>
      <c r="AC10" s="4">
        <f>B10+D10+F10+H10+J10+L10+N10+P10</f>
        <v>890</v>
      </c>
      <c r="AD10" s="4">
        <v>0.07063000000000001</v>
      </c>
      <c r="AE10" s="24">
        <f>AC10*AD10</f>
        <v>62.86070000000001</v>
      </c>
      <c r="AG10" s="4">
        <v>17</v>
      </c>
      <c r="AI10" s="4" t="s">
        <v>145</v>
      </c>
      <c r="AJ10" s="26">
        <f>SUM(E2:E994)</f>
        <v>425.61638000000005</v>
      </c>
      <c r="AL10" s="4" t="s">
        <v>250</v>
      </c>
      <c r="AM10" s="4">
        <f>AJ10/$AJ$5</f>
        <v>13.729560645161293</v>
      </c>
      <c r="AO10" s="4" t="s">
        <v>184</v>
      </c>
      <c r="AP10" s="4">
        <f>COUNTA(Y2:Y51)</f>
        <v>3</v>
      </c>
    </row>
    <row r="11" spans="1:42" ht="14.25">
      <c r="A11" s="27">
        <v>43079</v>
      </c>
      <c r="C11" s="4">
        <f>B11*AD11</f>
        <v>0</v>
      </c>
      <c r="D11" s="4">
        <f>250+115+50</f>
        <v>415</v>
      </c>
      <c r="E11" s="4">
        <f>D11*AD11</f>
        <v>29.311450000000004</v>
      </c>
      <c r="F11" s="4">
        <f>550+45*3</f>
        <v>685</v>
      </c>
      <c r="G11" s="4">
        <f>F11*AD11</f>
        <v>48.38155000000001</v>
      </c>
      <c r="I11" s="4">
        <f>H11*AD11</f>
        <v>0</v>
      </c>
      <c r="K11" s="4">
        <f>J11*AD11</f>
        <v>0</v>
      </c>
      <c r="L11" s="4">
        <v>600</v>
      </c>
      <c r="M11" s="4">
        <f>L11*AD11</f>
        <v>42.37800000000001</v>
      </c>
      <c r="O11" s="4">
        <f>N11*AD11</f>
        <v>0</v>
      </c>
      <c r="Q11" s="4">
        <f>P11*AD11</f>
        <v>0</v>
      </c>
      <c r="T11" s="4" t="s">
        <v>119</v>
      </c>
      <c r="AB11" s="33" t="s">
        <v>319</v>
      </c>
      <c r="AC11" s="4">
        <f>B11+D11+F11+H11+J11+L11+N11+P11</f>
        <v>1700</v>
      </c>
      <c r="AD11" s="4">
        <v>0.07063000000000001</v>
      </c>
      <c r="AE11" s="24">
        <f>AC11*AD11</f>
        <v>120.07100000000003</v>
      </c>
      <c r="AG11" s="4">
        <v>17</v>
      </c>
      <c r="AI11" s="4" t="s">
        <v>149</v>
      </c>
      <c r="AJ11" s="26">
        <f>SUM(G2:G994)</f>
        <v>495.75197</v>
      </c>
      <c r="AL11" s="4" t="s">
        <v>150</v>
      </c>
      <c r="AM11" s="26">
        <f>AJ11/$AJ$5</f>
        <v>15.991999032258063</v>
      </c>
      <c r="AO11" s="4" t="s">
        <v>113</v>
      </c>
      <c r="AP11" s="4">
        <f>COUNTA(Z2:Z52)</f>
        <v>6</v>
      </c>
    </row>
    <row r="12" spans="1:39" ht="14.25">
      <c r="A12" s="27">
        <v>43080</v>
      </c>
      <c r="C12" s="4">
        <f>B12*AD12</f>
        <v>0</v>
      </c>
      <c r="D12" s="4">
        <f>32+165+30</f>
        <v>227</v>
      </c>
      <c r="E12" s="4">
        <f>D12*AD12</f>
        <v>16.033010000000004</v>
      </c>
      <c r="F12" s="4">
        <v>120</v>
      </c>
      <c r="G12" s="4">
        <f>F12*AD12</f>
        <v>8.475600000000002</v>
      </c>
      <c r="I12" s="4">
        <f>H12*AD12</f>
        <v>0</v>
      </c>
      <c r="J12" s="4">
        <f>30+50</f>
        <v>80</v>
      </c>
      <c r="K12" s="4">
        <f>J12*AD12</f>
        <v>5.650400000000001</v>
      </c>
      <c r="L12" s="4">
        <v>600</v>
      </c>
      <c r="M12" s="4">
        <f>L12*AD12</f>
        <v>42.37800000000001</v>
      </c>
      <c r="O12" s="4">
        <f>N12*AD12</f>
        <v>0</v>
      </c>
      <c r="Q12" s="4">
        <f>P12*AD12</f>
        <v>0</v>
      </c>
      <c r="T12" s="4" t="s">
        <v>119</v>
      </c>
      <c r="AB12" s="33" t="s">
        <v>319</v>
      </c>
      <c r="AC12" s="4">
        <f>B12+D12+F12+H12+J12+L12+N12+P12</f>
        <v>1027</v>
      </c>
      <c r="AD12" s="4">
        <v>0.07063000000000001</v>
      </c>
      <c r="AE12" s="24">
        <f>AC12*AD12</f>
        <v>72.53701000000001</v>
      </c>
      <c r="AG12" s="4">
        <v>17</v>
      </c>
      <c r="AI12" s="4" t="s">
        <v>151</v>
      </c>
      <c r="AJ12" s="26">
        <f>SUM(K2:K994)</f>
        <v>121.48360000000002</v>
      </c>
      <c r="AL12" s="4" t="s">
        <v>101</v>
      </c>
      <c r="AM12" s="26">
        <f>AJ12/$AJ$5</f>
        <v>3.9188258064516135</v>
      </c>
    </row>
    <row r="13" spans="1:39" ht="14.25">
      <c r="A13" s="27">
        <v>43081</v>
      </c>
      <c r="B13" s="1">
        <f>300*2+100</f>
        <v>700</v>
      </c>
      <c r="C13" s="4">
        <f>B13*AD13</f>
        <v>49.44100000000001</v>
      </c>
      <c r="D13" s="4">
        <f>336+100</f>
        <v>436</v>
      </c>
      <c r="E13" s="4">
        <f>D13*AD13</f>
        <v>30.794680000000007</v>
      </c>
      <c r="F13" s="4">
        <v>136</v>
      </c>
      <c r="G13" s="4">
        <f>F13*AD13</f>
        <v>9.605680000000001</v>
      </c>
      <c r="I13" s="4">
        <f>H13*AD13</f>
        <v>0</v>
      </c>
      <c r="K13" s="4">
        <f>J13*AD13</f>
        <v>0</v>
      </c>
      <c r="L13" s="4">
        <v>500</v>
      </c>
      <c r="M13" s="4">
        <f>L13*AD13</f>
        <v>35.315000000000005</v>
      </c>
      <c r="O13" s="4">
        <f>N13*AD13</f>
        <v>0</v>
      </c>
      <c r="Q13" s="4">
        <f>P13*AD13</f>
        <v>0</v>
      </c>
      <c r="T13" s="4" t="s">
        <v>119</v>
      </c>
      <c r="AB13" s="33" t="s">
        <v>320</v>
      </c>
      <c r="AC13" s="4">
        <f>B13+D13+F13+H13+J13+L13+N13+P13</f>
        <v>1772</v>
      </c>
      <c r="AD13" s="4">
        <v>0.07063000000000001</v>
      </c>
      <c r="AE13" s="24">
        <f>AC13*AD13</f>
        <v>125.15636000000002</v>
      </c>
      <c r="AG13" s="4">
        <v>17</v>
      </c>
      <c r="AI13" s="4" t="s">
        <v>153</v>
      </c>
      <c r="AJ13" s="4">
        <f>SUM(I2:I994)</f>
        <v>190.70100000000002</v>
      </c>
      <c r="AL13" s="4" t="s">
        <v>99</v>
      </c>
      <c r="AM13" s="26">
        <f>AJ13/$AJ$5</f>
        <v>6.151645161290324</v>
      </c>
    </row>
    <row r="14" spans="1:36" ht="14.25">
      <c r="A14" s="27">
        <v>43082</v>
      </c>
      <c r="B14" s="4">
        <v>2300</v>
      </c>
      <c r="C14" s="4">
        <f>B14*AD14</f>
        <v>162.44900000000004</v>
      </c>
      <c r="D14" s="4">
        <f>330</f>
        <v>330</v>
      </c>
      <c r="E14" s="4">
        <f>D14*AD14</f>
        <v>23.307900000000004</v>
      </c>
      <c r="F14" s="4">
        <v>560</v>
      </c>
      <c r="G14" s="4">
        <f>F14*AD14</f>
        <v>39.552800000000005</v>
      </c>
      <c r="I14" s="4">
        <f>H14*AD14</f>
        <v>0</v>
      </c>
      <c r="K14" s="4">
        <f>J14*AD14</f>
        <v>0</v>
      </c>
      <c r="L14" s="4">
        <v>500</v>
      </c>
      <c r="M14" s="4">
        <f>L14*AD14</f>
        <v>35.315000000000005</v>
      </c>
      <c r="O14" s="4">
        <f>N14*AD14</f>
        <v>0</v>
      </c>
      <c r="Q14" s="4">
        <f>P14*AD14</f>
        <v>0</v>
      </c>
      <c r="T14" s="4" t="s">
        <v>119</v>
      </c>
      <c r="AB14" s="33" t="s">
        <v>321</v>
      </c>
      <c r="AC14" s="4">
        <f>B14+D14+F14+H14+J14+L14+N14+P14</f>
        <v>3690</v>
      </c>
      <c r="AD14" s="4">
        <v>0.07063000000000001</v>
      </c>
      <c r="AE14" s="24">
        <f>AC14*AD14</f>
        <v>260.6247</v>
      </c>
      <c r="AG14" s="4">
        <v>17</v>
      </c>
      <c r="AI14" s="4" t="s">
        <v>163</v>
      </c>
      <c r="AJ14" s="26">
        <f>SUM(O2:O994)</f>
        <v>84.75600000000001</v>
      </c>
    </row>
    <row r="15" spans="1:36" ht="14.25">
      <c r="A15" s="27">
        <v>43083</v>
      </c>
      <c r="B15" s="4">
        <v>50</v>
      </c>
      <c r="C15" s="4">
        <f>B15*AD15</f>
        <v>3.5315000000000007</v>
      </c>
      <c r="D15" s="4">
        <f>128+100+30+4</f>
        <v>262</v>
      </c>
      <c r="E15" s="4">
        <f>D15*AD15</f>
        <v>18.505060000000004</v>
      </c>
      <c r="F15" s="4">
        <v>40</v>
      </c>
      <c r="G15" s="4">
        <f>F15*AD15</f>
        <v>2.8252000000000006</v>
      </c>
      <c r="I15" s="4">
        <f>H15*AD15</f>
        <v>0</v>
      </c>
      <c r="J15" s="4">
        <f>20*2</f>
        <v>40</v>
      </c>
      <c r="K15" s="4">
        <f>J15*AD15</f>
        <v>2.8252000000000006</v>
      </c>
      <c r="M15" s="4">
        <f>L15*AD15</f>
        <v>0</v>
      </c>
      <c r="O15" s="4">
        <f>N15*AD15</f>
        <v>0</v>
      </c>
      <c r="Q15" s="4">
        <f>P15*AD15</f>
        <v>0</v>
      </c>
      <c r="Z15" s="4" t="s">
        <v>119</v>
      </c>
      <c r="AB15" s="33" t="s">
        <v>322</v>
      </c>
      <c r="AC15" s="4">
        <f>B15+D15+F15+H15+J15+L15+N15+P15</f>
        <v>392</v>
      </c>
      <c r="AD15" s="4">
        <v>0.07063000000000001</v>
      </c>
      <c r="AE15" s="24">
        <f>AC15*AD15</f>
        <v>27.686960000000006</v>
      </c>
      <c r="AG15" s="4">
        <v>17</v>
      </c>
      <c r="AI15" s="4" t="s">
        <v>194</v>
      </c>
      <c r="AJ15" s="4">
        <f>SUM(Q2:Q60)</f>
        <v>0</v>
      </c>
    </row>
    <row r="16" spans="1:35" ht="14.25">
      <c r="A16" s="27">
        <v>43084</v>
      </c>
      <c r="C16" s="4">
        <f>B16*AD16</f>
        <v>0</v>
      </c>
      <c r="D16" s="4">
        <v>20</v>
      </c>
      <c r="E16" s="4">
        <f>D16*AD16</f>
        <v>1.4126000000000003</v>
      </c>
      <c r="F16" s="4">
        <f>60+20</f>
        <v>80</v>
      </c>
      <c r="G16" s="4">
        <f>F16*AD16</f>
        <v>5.650400000000001</v>
      </c>
      <c r="I16" s="4">
        <f>H16*AD16</f>
        <v>0</v>
      </c>
      <c r="J16" s="4">
        <v>6</v>
      </c>
      <c r="K16" s="4">
        <f>J16*AD16</f>
        <v>0.42378000000000005</v>
      </c>
      <c r="M16" s="4">
        <f>L16*AD16</f>
        <v>0</v>
      </c>
      <c r="O16" s="4">
        <f>N16*AD16</f>
        <v>0</v>
      </c>
      <c r="Q16" s="4">
        <f>P16*AD16</f>
        <v>0</v>
      </c>
      <c r="Z16" s="4" t="s">
        <v>119</v>
      </c>
      <c r="AB16" s="33" t="s">
        <v>323</v>
      </c>
      <c r="AC16" s="4">
        <f>B16+D16+F16+H16+J16+L16+N16+P16</f>
        <v>106</v>
      </c>
      <c r="AD16" s="4">
        <v>0.07063000000000001</v>
      </c>
      <c r="AE16" s="24">
        <f>AC16*AD16</f>
        <v>7.486780000000001</v>
      </c>
      <c r="AG16" s="4">
        <v>17</v>
      </c>
      <c r="AI16" s="30"/>
    </row>
    <row r="17" spans="1:44" ht="12.75">
      <c r="A17" s="27">
        <v>43085</v>
      </c>
      <c r="C17" s="4">
        <f>B17*AD17</f>
        <v>0</v>
      </c>
      <c r="D17" s="4">
        <f>100+50</f>
        <v>150</v>
      </c>
      <c r="E17" s="4">
        <f>D17*AD17</f>
        <v>10.594500000000002</v>
      </c>
      <c r="F17" s="4">
        <f>190+68+30</f>
        <v>288</v>
      </c>
      <c r="G17" s="4">
        <f>F17*AD17</f>
        <v>20.341440000000002</v>
      </c>
      <c r="I17" s="4">
        <f>H17*AD17</f>
        <v>0</v>
      </c>
      <c r="K17" s="4">
        <f>J17*AD17</f>
        <v>0</v>
      </c>
      <c r="M17" s="4">
        <f>L17*AD17</f>
        <v>0</v>
      </c>
      <c r="O17" s="4">
        <f>N17*AD17</f>
        <v>0</v>
      </c>
      <c r="Q17" s="4">
        <f>P17*AD17</f>
        <v>0</v>
      </c>
      <c r="Z17" s="4" t="s">
        <v>119</v>
      </c>
      <c r="AB17" s="33" t="s">
        <v>323</v>
      </c>
      <c r="AC17" s="4">
        <f>B17+D17+F17+H17+J17+L17+N17+P17</f>
        <v>438</v>
      </c>
      <c r="AD17" s="4">
        <v>0.07063000000000001</v>
      </c>
      <c r="AE17" s="24">
        <f>AC17*AD17</f>
        <v>30.935940000000006</v>
      </c>
      <c r="AG17" s="4">
        <v>17</v>
      </c>
      <c r="AR17" s="25"/>
    </row>
    <row r="18" spans="1:44" ht="12.75">
      <c r="A18" s="27">
        <v>43086</v>
      </c>
      <c r="C18" s="4">
        <f>B18*AD18</f>
        <v>0</v>
      </c>
      <c r="D18" s="4">
        <f>20+29</f>
        <v>49</v>
      </c>
      <c r="E18" s="4">
        <f>D18*AD18</f>
        <v>3.460870000000001</v>
      </c>
      <c r="F18" s="4">
        <f>120+4</f>
        <v>124</v>
      </c>
      <c r="G18" s="4">
        <f>F18*AD18</f>
        <v>8.758120000000002</v>
      </c>
      <c r="I18" s="4">
        <f>H18*AD18</f>
        <v>0</v>
      </c>
      <c r="K18" s="4">
        <f>J18*AD18</f>
        <v>0</v>
      </c>
      <c r="M18" s="4">
        <f>L18*AD18</f>
        <v>0</v>
      </c>
      <c r="O18" s="4">
        <f>N18*AD18</f>
        <v>0</v>
      </c>
      <c r="Q18" s="4">
        <f>P18*AD18</f>
        <v>0</v>
      </c>
      <c r="Z18" s="4" t="s">
        <v>119</v>
      </c>
      <c r="AB18" s="33" t="s">
        <v>323</v>
      </c>
      <c r="AC18" s="4">
        <f>B18+D18+F18+H18+J18+L18+N18+P18</f>
        <v>173</v>
      </c>
      <c r="AD18" s="4">
        <v>0.07063000000000001</v>
      </c>
      <c r="AE18" s="24">
        <f>AC18*AD18</f>
        <v>12.218990000000002</v>
      </c>
      <c r="AG18" s="4">
        <v>17</v>
      </c>
      <c r="AI18" s="4" t="s">
        <v>256</v>
      </c>
      <c r="AJ18" s="4">
        <f>SUM(AA2:AA50)</f>
        <v>0</v>
      </c>
      <c r="AR18" s="25"/>
    </row>
    <row r="19" spans="1:33" ht="12.75">
      <c r="A19" s="27">
        <v>43087</v>
      </c>
      <c r="C19" s="4">
        <f>B19*AD19</f>
        <v>0</v>
      </c>
      <c r="D19" s="4">
        <f>50+24</f>
        <v>74</v>
      </c>
      <c r="E19" s="4">
        <f>D19*AD19</f>
        <v>5.2266200000000005</v>
      </c>
      <c r="F19" s="4">
        <f>120+35</f>
        <v>155</v>
      </c>
      <c r="G19" s="4">
        <f>F19*AD19</f>
        <v>10.947650000000001</v>
      </c>
      <c r="I19" s="4">
        <f>H19*AD19</f>
        <v>0</v>
      </c>
      <c r="K19" s="4">
        <f>J19*AD19</f>
        <v>0</v>
      </c>
      <c r="M19" s="4">
        <f>L19*AD19</f>
        <v>0</v>
      </c>
      <c r="O19" s="4">
        <f>N19*AD19</f>
        <v>0</v>
      </c>
      <c r="Q19" s="4">
        <f>P19*AD19</f>
        <v>0</v>
      </c>
      <c r="Z19" s="4" t="s">
        <v>119</v>
      </c>
      <c r="AB19" s="33" t="s">
        <v>323</v>
      </c>
      <c r="AC19" s="4">
        <f>B19+D19+F19+H19+J19+L19+N19+P19</f>
        <v>229</v>
      </c>
      <c r="AD19" s="4">
        <v>0.07063000000000001</v>
      </c>
      <c r="AE19" s="24">
        <f>AC19*AD19</f>
        <v>16.174270000000003</v>
      </c>
      <c r="AG19" s="4">
        <v>17</v>
      </c>
    </row>
    <row r="20" spans="1:33" ht="14.25">
      <c r="A20" s="27">
        <v>43088</v>
      </c>
      <c r="C20" s="4">
        <f>B20*AD20</f>
        <v>0</v>
      </c>
      <c r="E20" s="4">
        <f>D20*AD20</f>
        <v>0</v>
      </c>
      <c r="F20" s="4">
        <v>147</v>
      </c>
      <c r="G20" s="4">
        <f>F20*AD20</f>
        <v>10.382610000000001</v>
      </c>
      <c r="I20" s="4">
        <f>H20*AD20</f>
        <v>0</v>
      </c>
      <c r="K20" s="4">
        <f>J20*AD20</f>
        <v>0</v>
      </c>
      <c r="L20" s="4">
        <v>330</v>
      </c>
      <c r="M20" s="4">
        <f>L20*AD20</f>
        <v>23.307900000000004</v>
      </c>
      <c r="O20" s="4">
        <f>N20*AD20</f>
        <v>0</v>
      </c>
      <c r="Q20" s="4">
        <f>P20*AD20</f>
        <v>0</v>
      </c>
      <c r="T20" s="4" t="s">
        <v>119</v>
      </c>
      <c r="AB20" s="33" t="s">
        <v>324</v>
      </c>
      <c r="AC20" s="4">
        <f>B20+D20+F20+H20+J20+L20+N20+P20</f>
        <v>477</v>
      </c>
      <c r="AD20" s="4">
        <v>0.07063000000000001</v>
      </c>
      <c r="AE20" s="24">
        <f>AC20*AD20</f>
        <v>33.69051</v>
      </c>
      <c r="AG20" s="4">
        <v>17</v>
      </c>
    </row>
    <row r="21" spans="1:33" ht="14.25">
      <c r="A21" s="2">
        <v>43089</v>
      </c>
      <c r="C21" s="4">
        <f>B21*AD21</f>
        <v>0</v>
      </c>
      <c r="E21" s="4">
        <f>D21*AD21</f>
        <v>0</v>
      </c>
      <c r="F21" s="4">
        <f>158+110+50</f>
        <v>318</v>
      </c>
      <c r="G21" s="4">
        <f>F21*AD21</f>
        <v>22.460340000000002</v>
      </c>
      <c r="I21" s="4">
        <f>H21*AD21</f>
        <v>0</v>
      </c>
      <c r="K21" s="4">
        <f>J21*AD21</f>
        <v>0</v>
      </c>
      <c r="L21" s="4">
        <v>680</v>
      </c>
      <c r="M21" s="4">
        <f>L21*AD21</f>
        <v>48.028400000000005</v>
      </c>
      <c r="O21" s="4">
        <f>N21*AD21</f>
        <v>0</v>
      </c>
      <c r="Q21" s="4">
        <f>P21*AD21</f>
        <v>0</v>
      </c>
      <c r="T21" s="4" t="s">
        <v>119</v>
      </c>
      <c r="AB21" s="33" t="s">
        <v>325</v>
      </c>
      <c r="AC21" s="4">
        <f>B21+D21+F21+H21+J21+L21+N21+P21</f>
        <v>998</v>
      </c>
      <c r="AD21" s="4">
        <v>0.07063000000000001</v>
      </c>
      <c r="AE21" s="24">
        <f>AC21*AD21</f>
        <v>70.48874</v>
      </c>
      <c r="AG21" s="4">
        <v>17</v>
      </c>
    </row>
    <row r="22" spans="1:33" ht="14.25">
      <c r="A22" s="27">
        <v>43090</v>
      </c>
      <c r="C22" s="4">
        <f>B22*AD22</f>
        <v>0</v>
      </c>
      <c r="D22" s="4">
        <f>217+100</f>
        <v>317</v>
      </c>
      <c r="E22" s="4">
        <f>D22*AD22</f>
        <v>22.389710000000004</v>
      </c>
      <c r="F22" s="4">
        <v>167</v>
      </c>
      <c r="G22" s="4">
        <f>F22*AD22</f>
        <v>11.795210000000003</v>
      </c>
      <c r="I22" s="4">
        <f>H22*AD22</f>
        <v>0</v>
      </c>
      <c r="K22" s="4">
        <f>J22*AD22</f>
        <v>0</v>
      </c>
      <c r="L22" s="4">
        <v>680</v>
      </c>
      <c r="M22" s="4">
        <f>L22*AD22</f>
        <v>48.028400000000005</v>
      </c>
      <c r="O22" s="4">
        <f>N22*AD22</f>
        <v>0</v>
      </c>
      <c r="Q22" s="4">
        <f>P22*AD22</f>
        <v>0</v>
      </c>
      <c r="T22" s="4" t="s">
        <v>119</v>
      </c>
      <c r="AB22" s="33" t="s">
        <v>325</v>
      </c>
      <c r="AC22" s="4">
        <f>B22+D22+F22+H22+J22+L22+N22+P22</f>
        <v>1164</v>
      </c>
      <c r="AD22" s="4">
        <v>0.07063000000000001</v>
      </c>
      <c r="AE22" s="24">
        <f>AC22*AD22</f>
        <v>82.21332000000001</v>
      </c>
      <c r="AG22" s="4">
        <v>17</v>
      </c>
    </row>
    <row r="23" spans="1:33" ht="14.25">
      <c r="A23" s="27">
        <v>43091</v>
      </c>
      <c r="C23" s="4">
        <f>B23*AD23</f>
        <v>0</v>
      </c>
      <c r="D23" s="4">
        <f>240</f>
        <v>240</v>
      </c>
      <c r="E23" s="4">
        <f>D23*AD23</f>
        <v>16.951200000000004</v>
      </c>
      <c r="F23" s="4">
        <f>177+158</f>
        <v>335</v>
      </c>
      <c r="G23" s="4">
        <f>F23*AD23</f>
        <v>23.661050000000003</v>
      </c>
      <c r="I23" s="4">
        <f>H23*AD23</f>
        <v>0</v>
      </c>
      <c r="K23" s="4">
        <f>J23*AD23</f>
        <v>0</v>
      </c>
      <c r="L23" s="4">
        <v>680</v>
      </c>
      <c r="M23" s="4">
        <f>L23*AD23</f>
        <v>48.028400000000005</v>
      </c>
      <c r="O23" s="4">
        <f>N23*AD23</f>
        <v>0</v>
      </c>
      <c r="Q23" s="4">
        <f>P23*AD23</f>
        <v>0</v>
      </c>
      <c r="T23" s="4" t="s">
        <v>119</v>
      </c>
      <c r="AB23" s="33" t="s">
        <v>325</v>
      </c>
      <c r="AC23" s="4">
        <f>B23+D23+F23+H23+J23+L23+N23+P23</f>
        <v>1255</v>
      </c>
      <c r="AD23" s="4">
        <v>0.07063000000000001</v>
      </c>
      <c r="AE23" s="24">
        <f>AC23*AD23</f>
        <v>88.64065000000002</v>
      </c>
      <c r="AG23" s="4">
        <v>17</v>
      </c>
    </row>
    <row r="24" spans="1:33" ht="14.25">
      <c r="A24" s="27">
        <v>43092</v>
      </c>
      <c r="B24" s="4">
        <f>150+350*2+75*2</f>
        <v>1000</v>
      </c>
      <c r="C24" s="4">
        <f>B24*AD24</f>
        <v>70.63000000000001</v>
      </c>
      <c r="D24" s="4">
        <f>95+82</f>
        <v>177</v>
      </c>
      <c r="E24" s="4">
        <f>D24*AD24</f>
        <v>12.501510000000001</v>
      </c>
      <c r="G24" s="4">
        <f>F24*AD24</f>
        <v>0</v>
      </c>
      <c r="I24" s="4">
        <f>H24*AD24</f>
        <v>0</v>
      </c>
      <c r="J24" s="4">
        <f>175*2</f>
        <v>350</v>
      </c>
      <c r="K24" s="4">
        <f>J24*AD24</f>
        <v>24.720500000000005</v>
      </c>
      <c r="L24" s="4">
        <v>700</v>
      </c>
      <c r="M24" s="4">
        <f>L24*AD24</f>
        <v>49.44100000000001</v>
      </c>
      <c r="O24" s="4">
        <f>N24*AD24</f>
        <v>0</v>
      </c>
      <c r="Q24" s="4">
        <f>P24*AD24</f>
        <v>0</v>
      </c>
      <c r="T24" s="4" t="s">
        <v>119</v>
      </c>
      <c r="AB24" s="33" t="s">
        <v>326</v>
      </c>
      <c r="AC24" s="4">
        <f>B24+D24+F24+H24+J24+L24+N24+P24</f>
        <v>2227</v>
      </c>
      <c r="AD24" s="4">
        <v>0.07063000000000001</v>
      </c>
      <c r="AE24" s="24">
        <f>AC24*AD24</f>
        <v>157.29301000000004</v>
      </c>
      <c r="AG24" s="4">
        <v>17</v>
      </c>
    </row>
    <row r="25" spans="1:33" ht="14.25">
      <c r="A25" s="27">
        <v>43093</v>
      </c>
      <c r="C25" s="4">
        <f>B25*AD25</f>
        <v>0</v>
      </c>
      <c r="D25" s="4">
        <f>59+50</f>
        <v>109</v>
      </c>
      <c r="E25" s="4">
        <f>D25*AD25</f>
        <v>7.698670000000002</v>
      </c>
      <c r="F25" s="4">
        <f>198+125</f>
        <v>323</v>
      </c>
      <c r="G25" s="4">
        <f>F25*AD25</f>
        <v>22.813490000000005</v>
      </c>
      <c r="I25" s="4">
        <f>H25*AD25</f>
        <v>0</v>
      </c>
      <c r="K25" s="4">
        <f>J25*AD25</f>
        <v>0</v>
      </c>
      <c r="L25" s="4">
        <v>893.33</v>
      </c>
      <c r="M25" s="4">
        <f>L25*AD25</f>
        <v>63.09589790000001</v>
      </c>
      <c r="O25" s="4">
        <f>N25*AD25</f>
        <v>0</v>
      </c>
      <c r="Q25" s="4">
        <f>P25*AD25</f>
        <v>0</v>
      </c>
      <c r="T25" s="4" t="s">
        <v>119</v>
      </c>
      <c r="AB25" s="33" t="s">
        <v>327</v>
      </c>
      <c r="AC25" s="4">
        <f>B25+D25+F25+H25+J25+L25+N25+P25</f>
        <v>1325.33</v>
      </c>
      <c r="AD25" s="4">
        <v>0.07063000000000001</v>
      </c>
      <c r="AE25" s="24">
        <f>AC25*AD25</f>
        <v>93.6080579</v>
      </c>
      <c r="AG25" s="4">
        <v>17</v>
      </c>
    </row>
    <row r="26" spans="1:33" ht="14.25">
      <c r="A26" s="27">
        <v>43094</v>
      </c>
      <c r="C26" s="4">
        <f>B26*AD26</f>
        <v>0</v>
      </c>
      <c r="D26" s="4">
        <f>190+100</f>
        <v>290</v>
      </c>
      <c r="E26" s="4">
        <f>D26*AD26</f>
        <v>20.482700000000005</v>
      </c>
      <c r="F26" s="4">
        <f>149+143</f>
        <v>292</v>
      </c>
      <c r="G26" s="4">
        <f>F26*AD26</f>
        <v>20.623960000000004</v>
      </c>
      <c r="I26" s="4">
        <f>H26*AD26</f>
        <v>0</v>
      </c>
      <c r="K26" s="4">
        <f>J26*AD26</f>
        <v>0</v>
      </c>
      <c r="L26" s="4">
        <v>893.33</v>
      </c>
      <c r="M26" s="4">
        <f>L26*AD26</f>
        <v>63.09589790000001</v>
      </c>
      <c r="O26" s="4">
        <f>N26*AD26</f>
        <v>0</v>
      </c>
      <c r="Q26" s="4">
        <f>P26*AD26</f>
        <v>0</v>
      </c>
      <c r="T26" s="4" t="s">
        <v>119</v>
      </c>
      <c r="AB26" s="4" t="s">
        <v>327</v>
      </c>
      <c r="AC26" s="4">
        <f>B26+D26+F26+H26+J26+L26+N26+P26</f>
        <v>1475.33</v>
      </c>
      <c r="AD26" s="4">
        <v>0.07063000000000001</v>
      </c>
      <c r="AE26" s="24">
        <f>AC26*AD26</f>
        <v>104.20255790000002</v>
      </c>
      <c r="AG26" s="4">
        <v>17</v>
      </c>
    </row>
    <row r="27" spans="1:33" ht="14.25">
      <c r="A27" s="27">
        <v>43095</v>
      </c>
      <c r="C27" s="4">
        <f>B27*AD27</f>
        <v>0</v>
      </c>
      <c r="D27" s="4">
        <f>244+29+66+50</f>
        <v>389</v>
      </c>
      <c r="E27" s="4">
        <f>D27*AD27</f>
        <v>27.475070000000006</v>
      </c>
      <c r="F27" s="4">
        <f>110+149</f>
        <v>259</v>
      </c>
      <c r="G27" s="4">
        <f>F27*AD27</f>
        <v>18.293170000000003</v>
      </c>
      <c r="I27" s="4">
        <f>H27*AD27</f>
        <v>0</v>
      </c>
      <c r="K27" s="4">
        <f>J27*AD27</f>
        <v>0</v>
      </c>
      <c r="L27" s="4">
        <v>893.33</v>
      </c>
      <c r="M27" s="4">
        <f>L27*AD27</f>
        <v>63.09589790000001</v>
      </c>
      <c r="N27" s="4">
        <v>150</v>
      </c>
      <c r="O27" s="4">
        <f>N27*AD27</f>
        <v>10.594500000000002</v>
      </c>
      <c r="Q27" s="4">
        <f>P27*AD27</f>
        <v>0</v>
      </c>
      <c r="T27" s="4" t="s">
        <v>119</v>
      </c>
      <c r="AB27" s="4" t="s">
        <v>327</v>
      </c>
      <c r="AC27" s="4">
        <f>B27+D27+F27+H27+J27+L27+N27+P27</f>
        <v>1691.33</v>
      </c>
      <c r="AD27" s="4">
        <v>0.07063000000000001</v>
      </c>
      <c r="AE27" s="24">
        <f>AC27*AD27</f>
        <v>119.45863790000001</v>
      </c>
      <c r="AG27" s="4">
        <v>17</v>
      </c>
    </row>
    <row r="28" spans="1:33" ht="14.25">
      <c r="A28" s="27">
        <v>43096</v>
      </c>
      <c r="C28" s="4">
        <f>B28*AD28</f>
        <v>0</v>
      </c>
      <c r="D28" s="4">
        <v>70</v>
      </c>
      <c r="E28" s="4">
        <f>D28*AD28</f>
        <v>4.944100000000001</v>
      </c>
      <c r="F28" s="4">
        <f>110+171</f>
        <v>281</v>
      </c>
      <c r="G28" s="4">
        <f>F28*AD28</f>
        <v>19.847030000000004</v>
      </c>
      <c r="I28" s="4">
        <f>H28*AD28</f>
        <v>0</v>
      </c>
      <c r="K28" s="4">
        <f>J28*AD28</f>
        <v>0</v>
      </c>
      <c r="L28" s="4">
        <v>893.33</v>
      </c>
      <c r="M28" s="4">
        <f>L28*AD28</f>
        <v>63.09589790000001</v>
      </c>
      <c r="O28" s="4">
        <f>N28*AD28</f>
        <v>0</v>
      </c>
      <c r="Q28" s="4">
        <f>P28*AD28</f>
        <v>0</v>
      </c>
      <c r="T28" s="4" t="s">
        <v>119</v>
      </c>
      <c r="AB28" s="4" t="s">
        <v>327</v>
      </c>
      <c r="AC28" s="4">
        <f>B28+D28+F28+H28+J28+L28+N28+P28</f>
        <v>1244.33</v>
      </c>
      <c r="AD28" s="4">
        <v>0.07063000000000001</v>
      </c>
      <c r="AE28" s="24">
        <f>AC28*AD28</f>
        <v>87.8870279</v>
      </c>
      <c r="AG28" s="4">
        <v>17</v>
      </c>
    </row>
    <row r="29" spans="1:33" ht="14.25">
      <c r="A29" s="27">
        <v>43097</v>
      </c>
      <c r="C29" s="4">
        <f>B29*AD29</f>
        <v>0</v>
      </c>
      <c r="D29" s="4">
        <v>48</v>
      </c>
      <c r="E29" s="4">
        <f>D29*AD29</f>
        <v>3.3902400000000004</v>
      </c>
      <c r="F29" s="4">
        <f>110+262</f>
        <v>372</v>
      </c>
      <c r="G29" s="4">
        <f>F29*AD29</f>
        <v>26.274360000000005</v>
      </c>
      <c r="I29" s="4">
        <f>H29*AD29</f>
        <v>0</v>
      </c>
      <c r="K29" s="4">
        <f>J29*AD29</f>
        <v>0</v>
      </c>
      <c r="L29" s="4">
        <v>893.33</v>
      </c>
      <c r="M29" s="4">
        <f>L29*AD29</f>
        <v>63.09589790000001</v>
      </c>
      <c r="O29" s="4">
        <f>N29*AD29</f>
        <v>0</v>
      </c>
      <c r="Q29" s="4">
        <f>P29*AD29</f>
        <v>0</v>
      </c>
      <c r="T29" s="4" t="s">
        <v>119</v>
      </c>
      <c r="AB29" s="4" t="s">
        <v>327</v>
      </c>
      <c r="AC29" s="4">
        <f>B29+D29+F29+H29+J29+L29+N29+P29</f>
        <v>1313.33</v>
      </c>
      <c r="AD29" s="4">
        <v>0.07063000000000001</v>
      </c>
      <c r="AE29" s="24">
        <f>AC29*AD29</f>
        <v>92.7604979</v>
      </c>
      <c r="AG29" s="4">
        <v>17</v>
      </c>
    </row>
    <row r="30" spans="1:33" ht="14.25">
      <c r="A30" s="27">
        <v>43098</v>
      </c>
      <c r="C30" s="4">
        <f>B30*AD30</f>
        <v>0</v>
      </c>
      <c r="D30" s="4">
        <v>100</v>
      </c>
      <c r="E30" s="4">
        <f>D30*AD30</f>
        <v>7.0630000000000015</v>
      </c>
      <c r="F30" s="4">
        <f>110+139</f>
        <v>249</v>
      </c>
      <c r="G30" s="4">
        <f>F30*AD30</f>
        <v>17.586870000000005</v>
      </c>
      <c r="I30" s="4">
        <f>H30*AD30</f>
        <v>0</v>
      </c>
      <c r="K30" s="4">
        <f>J30*AD30</f>
        <v>0</v>
      </c>
      <c r="L30" s="4">
        <v>893.33</v>
      </c>
      <c r="M30" s="4">
        <f>L30*AD30</f>
        <v>63.09589790000001</v>
      </c>
      <c r="O30" s="4">
        <f>N30*AD30</f>
        <v>0</v>
      </c>
      <c r="Q30" s="4">
        <f>P30*AD30</f>
        <v>0</v>
      </c>
      <c r="T30" s="4" t="s">
        <v>119</v>
      </c>
      <c r="AB30" s="4" t="s">
        <v>327</v>
      </c>
      <c r="AC30" s="4">
        <f>B30+D30+F30+H30+J30+L30+N30+P30</f>
        <v>1242.33</v>
      </c>
      <c r="AD30" s="4">
        <v>0.07063000000000001</v>
      </c>
      <c r="AE30" s="24">
        <f>AC30*AD30</f>
        <v>87.7457679</v>
      </c>
      <c r="AG30" s="4">
        <v>17</v>
      </c>
    </row>
    <row r="31" spans="1:33" ht="14.25">
      <c r="A31" s="27">
        <v>43099</v>
      </c>
      <c r="C31" s="4">
        <f>B31*AD31</f>
        <v>0</v>
      </c>
      <c r="D31" s="4">
        <f>218+210+100</f>
        <v>528</v>
      </c>
      <c r="E31" s="4">
        <f>D31*AD31</f>
        <v>37.292640000000006</v>
      </c>
      <c r="F31" s="4">
        <f>110+272</f>
        <v>382</v>
      </c>
      <c r="G31" s="4">
        <f>F31*AD31</f>
        <v>26.980660000000004</v>
      </c>
      <c r="I31" s="4">
        <f>H31*AD31</f>
        <v>0</v>
      </c>
      <c r="K31" s="4">
        <f>J31*AD31</f>
        <v>0</v>
      </c>
      <c r="L31" s="4">
        <v>893.33</v>
      </c>
      <c r="M31" s="4">
        <f>L31*AD31</f>
        <v>63.09589790000001</v>
      </c>
      <c r="O31" s="4">
        <f>N31*AD31</f>
        <v>0</v>
      </c>
      <c r="Q31" s="4">
        <f>P31*AD31</f>
        <v>0</v>
      </c>
      <c r="T31" s="4" t="s">
        <v>119</v>
      </c>
      <c r="AB31" s="4" t="s">
        <v>327</v>
      </c>
      <c r="AC31" s="4">
        <f>B31+D31+F31+H31+J31+L31+N31+P31</f>
        <v>1803.33</v>
      </c>
      <c r="AD31" s="4">
        <v>0.07063000000000001</v>
      </c>
      <c r="AE31" s="24">
        <f>AC31*AD31</f>
        <v>127.36919790000002</v>
      </c>
      <c r="AG31" s="4">
        <v>17</v>
      </c>
    </row>
    <row r="32" spans="1:33" ht="14.25">
      <c r="A32" s="27">
        <v>43100</v>
      </c>
      <c r="B32" s="4">
        <v>59027.45</v>
      </c>
      <c r="C32" s="4">
        <f>B32*AD32</f>
        <v>4169.1087935000005</v>
      </c>
      <c r="D32" s="4">
        <f>218</f>
        <v>218</v>
      </c>
      <c r="E32" s="4">
        <f>D32*AD32</f>
        <v>15.397340000000003</v>
      </c>
      <c r="F32" s="4">
        <f>163+265</f>
        <v>428</v>
      </c>
      <c r="G32" s="4">
        <f>F32*AD32</f>
        <v>30.229640000000007</v>
      </c>
      <c r="I32" s="4">
        <f>H32*AD32</f>
        <v>0</v>
      </c>
      <c r="J32" s="4">
        <v>38</v>
      </c>
      <c r="K32" s="4">
        <f>J32*AD32</f>
        <v>2.6839400000000007</v>
      </c>
      <c r="L32" s="4">
        <v>893.33</v>
      </c>
      <c r="M32" s="4">
        <f>L32*AD32</f>
        <v>63.09589790000001</v>
      </c>
      <c r="O32" s="4">
        <f>N32*AD32</f>
        <v>0</v>
      </c>
      <c r="Q32" s="4">
        <f>P32*AD32</f>
        <v>0</v>
      </c>
      <c r="AB32" s="4" t="s">
        <v>327</v>
      </c>
      <c r="AC32" s="4">
        <f>B32+D32+F32+H32+J32+L32+N32+P32</f>
        <v>60604.78</v>
      </c>
      <c r="AD32" s="4">
        <v>0.07063000000000001</v>
      </c>
      <c r="AE32" s="24">
        <f>AC32*AD32</f>
        <v>4280.515611400001</v>
      </c>
      <c r="AG32" s="4">
        <v>17</v>
      </c>
    </row>
    <row r="33" spans="1:33" ht="14.25">
      <c r="A33" s="25"/>
      <c r="C33" s="4">
        <f>B33*AD33</f>
        <v>0</v>
      </c>
      <c r="E33" s="4">
        <f>D33*AD33</f>
        <v>0</v>
      </c>
      <c r="G33" s="4">
        <f>F33*AD33</f>
        <v>0</v>
      </c>
      <c r="I33" s="4">
        <f>H33*AD33</f>
        <v>0</v>
      </c>
      <c r="K33" s="4">
        <f>J33*AD33</f>
        <v>0</v>
      </c>
      <c r="M33" s="4">
        <f>L33*AD33</f>
        <v>0</v>
      </c>
      <c r="O33" s="4">
        <f>N33*AD33</f>
        <v>0</v>
      </c>
      <c r="Q33" s="4">
        <f>P33*AD33</f>
        <v>0</v>
      </c>
      <c r="AC33" s="4">
        <f>B33+D33+F33+H33+J33+L33+N33+P33</f>
        <v>0</v>
      </c>
      <c r="AD33" s="4">
        <v>0.07063000000000001</v>
      </c>
      <c r="AE33" s="24">
        <f>AC33*AD33</f>
        <v>0</v>
      </c>
      <c r="AG33" s="4">
        <v>17</v>
      </c>
    </row>
    <row r="34" spans="1:33" ht="14.2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v>0.07063000000000001</v>
      </c>
      <c r="AE34" s="24">
        <f>AC34*AD34</f>
        <v>0</v>
      </c>
      <c r="AG34" s="4">
        <v>17</v>
      </c>
    </row>
    <row r="35" spans="3:31" ht="14.2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v>0.07063000000000001</v>
      </c>
      <c r="AE35" s="24">
        <f>AC35*AD35</f>
        <v>0</v>
      </c>
    </row>
    <row r="36" spans="3:31" ht="14.2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v>0.07063000000000001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v>0.07063000000000001</v>
      </c>
      <c r="AE37" s="24">
        <f>AC37*AD37</f>
        <v>0</v>
      </c>
    </row>
    <row r="38" spans="3:45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  <c r="AS38" s="25"/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0.1889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3"/>
  <sheetViews>
    <sheetView zoomScale="95" zoomScaleNormal="95" workbookViewId="0" topLeftCell="A15">
      <selection activeCell="A28" sqref="A28"/>
    </sheetView>
  </sheetViews>
  <sheetFormatPr defaultColWidth="11.00390625" defaultRowHeight="14.25"/>
  <cols>
    <col min="1" max="1" width="1.4921875" style="5" customWidth="1"/>
    <col min="2" max="2" width="14.125" style="6" customWidth="1"/>
    <col min="3" max="3" width="6.25390625" style="7" customWidth="1"/>
    <col min="4" max="4" width="14.25390625" style="8" customWidth="1"/>
    <col min="5" max="5" width="10.125" style="8" customWidth="1"/>
    <col min="6" max="7" width="12.75390625" style="8" customWidth="1"/>
    <col min="8" max="9" width="11.75390625" style="8" customWidth="1"/>
    <col min="10" max="10" width="13.125" style="8" customWidth="1"/>
    <col min="11" max="11" width="11.75390625" style="8" customWidth="1"/>
    <col min="12" max="12" width="10.625" style="8" customWidth="1"/>
    <col min="13" max="13" width="12.125" style="8" customWidth="1"/>
    <col min="14" max="14" width="12.50390625" style="8" customWidth="1"/>
    <col min="15" max="15" width="10.375" style="9" customWidth="1"/>
    <col min="16" max="16" width="5.00390625" style="10" customWidth="1"/>
    <col min="17" max="17" width="8.375" style="10" customWidth="1"/>
    <col min="18" max="18" width="10.25390625" style="10" customWidth="1"/>
    <col min="19" max="19" width="7.75390625" style="10" customWidth="1"/>
    <col min="20" max="20" width="12.00390625" style="10" customWidth="1"/>
    <col min="21" max="21" width="10.125" style="10" customWidth="1"/>
    <col min="22" max="22" width="11.25390625" style="10" customWidth="1"/>
    <col min="23" max="24" width="13.25390625" style="10" customWidth="1"/>
    <col min="25" max="25" width="11.375" style="10" customWidth="1"/>
    <col min="26" max="26" width="12.25390625" style="10" customWidth="1"/>
    <col min="27" max="27" width="10.625" style="11" customWidth="1"/>
    <col min="28" max="28" width="14.50390625" style="4" customWidth="1"/>
    <col min="29" max="29" width="14.50390625" style="5" customWidth="1"/>
    <col min="30" max="30" width="13.125" style="5" customWidth="1"/>
    <col min="31" max="16384" width="10.625" style="5" customWidth="1"/>
  </cols>
  <sheetData>
    <row r="1" spans="2:28" s="12" customFormat="1" ht="27.75" customHeight="1">
      <c r="B1" s="13" t="s">
        <v>37</v>
      </c>
      <c r="C1" s="13" t="s">
        <v>38</v>
      </c>
      <c r="D1" s="14" t="s">
        <v>39</v>
      </c>
      <c r="E1" s="14" t="s">
        <v>40</v>
      </c>
      <c r="F1" s="14" t="s">
        <v>41</v>
      </c>
      <c r="G1" s="14" t="s">
        <v>42</v>
      </c>
      <c r="H1" s="14" t="s">
        <v>43</v>
      </c>
      <c r="I1" s="14" t="s">
        <v>44</v>
      </c>
      <c r="J1" s="14" t="s">
        <v>45</v>
      </c>
      <c r="K1" s="14" t="s">
        <v>46</v>
      </c>
      <c r="L1" s="14" t="s">
        <v>47</v>
      </c>
      <c r="M1" s="14" t="s">
        <v>48</v>
      </c>
      <c r="N1" s="14" t="s">
        <v>49</v>
      </c>
      <c r="O1" s="15" t="s">
        <v>50</v>
      </c>
      <c r="P1" s="16" t="s">
        <v>51</v>
      </c>
      <c r="Q1" s="16" t="s">
        <v>52</v>
      </c>
      <c r="R1" s="16" t="s">
        <v>53</v>
      </c>
      <c r="S1" s="16" t="s">
        <v>54</v>
      </c>
      <c r="T1" s="16" t="s">
        <v>55</v>
      </c>
      <c r="U1" s="16" t="s">
        <v>56</v>
      </c>
      <c r="V1" s="16" t="s">
        <v>57</v>
      </c>
      <c r="W1" s="16" t="s">
        <v>58</v>
      </c>
      <c r="X1" s="16" t="s">
        <v>59</v>
      </c>
      <c r="Y1" s="16" t="s">
        <v>60</v>
      </c>
      <c r="Z1" s="16" t="s">
        <v>61</v>
      </c>
      <c r="AA1" s="17" t="s">
        <v>62</v>
      </c>
      <c r="AB1" s="18"/>
    </row>
    <row r="2" spans="2:29" s="1" customFormat="1" ht="12.75">
      <c r="B2" s="7" t="s">
        <v>63</v>
      </c>
      <c r="C2" s="7">
        <v>33</v>
      </c>
      <c r="D2" s="19">
        <v>3758.49</v>
      </c>
      <c r="E2" s="20">
        <f>D2/C2</f>
        <v>113.89363636363636</v>
      </c>
      <c r="F2" s="20">
        <v>930.33</v>
      </c>
      <c r="G2" s="20">
        <v>824.28</v>
      </c>
      <c r="H2" s="20">
        <v>1667.23</v>
      </c>
      <c r="I2" s="20">
        <v>100</v>
      </c>
      <c r="J2" s="20">
        <v>143.15</v>
      </c>
      <c r="K2" s="20">
        <v>93.5</v>
      </c>
      <c r="L2" s="20"/>
      <c r="M2" s="20"/>
      <c r="N2" s="20"/>
      <c r="O2" s="21"/>
      <c r="P2" s="22">
        <v>10</v>
      </c>
      <c r="Q2" s="22">
        <v>5</v>
      </c>
      <c r="R2" s="22"/>
      <c r="S2" s="22">
        <v>7</v>
      </c>
      <c r="T2" s="22">
        <v>8</v>
      </c>
      <c r="U2" s="22">
        <v>1</v>
      </c>
      <c r="V2" s="22">
        <v>2</v>
      </c>
      <c r="W2" s="22">
        <v>0</v>
      </c>
      <c r="X2" s="22">
        <v>0</v>
      </c>
      <c r="Y2" s="22">
        <v>13</v>
      </c>
      <c r="Z2" s="22">
        <v>20</v>
      </c>
      <c r="AA2" s="11">
        <v>3</v>
      </c>
      <c r="AB2" s="4"/>
      <c r="AC2" s="5"/>
    </row>
    <row r="3" spans="2:30" ht="12.75">
      <c r="B3" s="7" t="s">
        <v>64</v>
      </c>
      <c r="C3" s="7">
        <v>30</v>
      </c>
      <c r="D3" s="19">
        <v>1674.25</v>
      </c>
      <c r="E3" s="20">
        <f>D3/C3</f>
        <v>55.80833333333333</v>
      </c>
      <c r="F3" s="20">
        <v>285</v>
      </c>
      <c r="G3" s="20">
        <v>641</v>
      </c>
      <c r="H3" s="20">
        <v>517.25</v>
      </c>
      <c r="I3" s="20">
        <v>15</v>
      </c>
      <c r="J3" s="20">
        <v>111</v>
      </c>
      <c r="K3" s="20">
        <v>105</v>
      </c>
      <c r="L3" s="20"/>
      <c r="M3" s="20"/>
      <c r="N3" s="20"/>
      <c r="O3" s="21"/>
      <c r="P3" s="22">
        <v>12</v>
      </c>
      <c r="Q3" s="22">
        <v>1</v>
      </c>
      <c r="R3" s="22"/>
      <c r="S3" s="22">
        <v>0</v>
      </c>
      <c r="T3" s="22">
        <v>5</v>
      </c>
      <c r="U3" s="22">
        <v>0</v>
      </c>
      <c r="V3" s="22">
        <v>1</v>
      </c>
      <c r="W3" s="22">
        <v>0</v>
      </c>
      <c r="X3" s="22">
        <v>11</v>
      </c>
      <c r="Y3" s="22">
        <v>5</v>
      </c>
      <c r="Z3" s="22">
        <v>25</v>
      </c>
      <c r="AA3" s="11">
        <v>12</v>
      </c>
      <c r="AD3" s="6"/>
    </row>
    <row r="4" spans="2:28" s="1" customFormat="1" ht="14.25">
      <c r="B4" s="7" t="s">
        <v>65</v>
      </c>
      <c r="C4" s="7">
        <v>31</v>
      </c>
      <c r="D4" s="19">
        <v>2382.72</v>
      </c>
      <c r="E4" s="20">
        <f>D4/C4</f>
        <v>76.86193548387097</v>
      </c>
      <c r="F4" s="20">
        <v>669.53</v>
      </c>
      <c r="G4" s="20">
        <v>657.41</v>
      </c>
      <c r="H4" s="20">
        <v>648.06</v>
      </c>
      <c r="I4" s="20">
        <v>23.7</v>
      </c>
      <c r="J4" s="20">
        <v>310.27</v>
      </c>
      <c r="K4" s="20">
        <v>73.77</v>
      </c>
      <c r="L4" s="20"/>
      <c r="M4" s="20"/>
      <c r="N4" s="20"/>
      <c r="O4" s="21"/>
      <c r="P4" s="22">
        <v>3</v>
      </c>
      <c r="Q4" s="22">
        <v>5</v>
      </c>
      <c r="R4" s="22"/>
      <c r="S4" s="22">
        <v>0</v>
      </c>
      <c r="T4" s="22">
        <v>6</v>
      </c>
      <c r="U4" s="22">
        <v>0</v>
      </c>
      <c r="V4" s="22">
        <v>1</v>
      </c>
      <c r="W4" s="22">
        <v>0</v>
      </c>
      <c r="X4" s="22">
        <v>15</v>
      </c>
      <c r="Y4" s="22">
        <v>10</v>
      </c>
      <c r="Z4" s="22">
        <v>21</v>
      </c>
      <c r="AA4" s="11">
        <v>2</v>
      </c>
      <c r="AB4" s="4"/>
    </row>
    <row r="5" spans="2:29" ht="14.25">
      <c r="B5" s="7" t="s">
        <v>66</v>
      </c>
      <c r="C5" s="7">
        <v>31</v>
      </c>
      <c r="D5" s="19">
        <v>1865</v>
      </c>
      <c r="E5" s="20">
        <f>D5/C5</f>
        <v>60.16129032258065</v>
      </c>
      <c r="F5" s="20">
        <v>656.8</v>
      </c>
      <c r="G5" s="20">
        <v>790.07685</v>
      </c>
      <c r="H5" s="20">
        <v>0</v>
      </c>
      <c r="I5" s="20">
        <v>273.2</v>
      </c>
      <c r="J5" s="20">
        <v>133.95</v>
      </c>
      <c r="K5" s="20">
        <v>11.6</v>
      </c>
      <c r="L5" s="20"/>
      <c r="M5" s="20"/>
      <c r="N5" s="20"/>
      <c r="O5" s="21">
        <v>2</v>
      </c>
      <c r="P5" s="22">
        <v>0</v>
      </c>
      <c r="Q5" s="22">
        <v>21</v>
      </c>
      <c r="R5" s="22">
        <v>5</v>
      </c>
      <c r="S5" s="22">
        <v>4</v>
      </c>
      <c r="T5" s="22">
        <v>1</v>
      </c>
      <c r="U5" s="22">
        <v>0</v>
      </c>
      <c r="V5" s="22">
        <v>0</v>
      </c>
      <c r="W5" s="22">
        <v>0</v>
      </c>
      <c r="X5" s="22">
        <v>0</v>
      </c>
      <c r="Y5" s="22">
        <v>14</v>
      </c>
      <c r="Z5" s="22">
        <v>17</v>
      </c>
      <c r="AA5" s="11">
        <v>21</v>
      </c>
      <c r="AC5" s="1"/>
    </row>
    <row r="6" spans="2:27" ht="14.25">
      <c r="B6" s="7" t="s">
        <v>67</v>
      </c>
      <c r="C6" s="7">
        <v>29</v>
      </c>
      <c r="D6" s="19">
        <f>SUM(F6:K6)</f>
        <v>1614.0100000000002</v>
      </c>
      <c r="E6" s="20">
        <f>D6/C6</f>
        <v>55.655517241379314</v>
      </c>
      <c r="F6" s="20">
        <v>505</v>
      </c>
      <c r="G6" s="20">
        <v>908.86</v>
      </c>
      <c r="H6" s="20">
        <v>84.73</v>
      </c>
      <c r="I6" s="20">
        <v>87</v>
      </c>
      <c r="J6" s="20">
        <v>0</v>
      </c>
      <c r="K6" s="20">
        <v>28.42</v>
      </c>
      <c r="L6" s="20"/>
      <c r="M6" s="20"/>
      <c r="N6" s="20"/>
      <c r="O6" s="21">
        <v>0</v>
      </c>
      <c r="P6" s="22">
        <v>0</v>
      </c>
      <c r="Q6" s="22">
        <v>9</v>
      </c>
      <c r="R6" s="22">
        <v>3</v>
      </c>
      <c r="S6" s="22">
        <v>16</v>
      </c>
      <c r="T6" s="22">
        <v>1</v>
      </c>
      <c r="U6" s="22">
        <v>0</v>
      </c>
      <c r="V6" s="22">
        <v>0</v>
      </c>
      <c r="W6" s="22">
        <v>0</v>
      </c>
      <c r="X6" s="22">
        <v>0</v>
      </c>
      <c r="Y6" s="22">
        <v>9</v>
      </c>
      <c r="Z6" s="22">
        <v>20</v>
      </c>
      <c r="AA6" s="11">
        <v>23</v>
      </c>
    </row>
    <row r="7" spans="2:28" s="1" customFormat="1" ht="14.25">
      <c r="B7" s="7" t="s">
        <v>68</v>
      </c>
      <c r="C7" s="7">
        <v>31</v>
      </c>
      <c r="D7" s="19">
        <v>1987.12</v>
      </c>
      <c r="E7" s="20">
        <f>D7/C7</f>
        <v>64.10064516129032</v>
      </c>
      <c r="F7" s="20">
        <v>458.38</v>
      </c>
      <c r="G7" s="20">
        <v>746</v>
      </c>
      <c r="H7" s="20">
        <v>230.49</v>
      </c>
      <c r="I7" s="20">
        <v>382.37</v>
      </c>
      <c r="J7" s="20">
        <v>104.23</v>
      </c>
      <c r="K7" s="20">
        <v>64.83</v>
      </c>
      <c r="L7" s="20"/>
      <c r="M7" s="20"/>
      <c r="N7" s="20"/>
      <c r="O7" s="21">
        <v>2</v>
      </c>
      <c r="P7" s="22">
        <v>0</v>
      </c>
      <c r="Q7" s="22">
        <v>4</v>
      </c>
      <c r="R7" s="22">
        <v>3</v>
      </c>
      <c r="S7" s="22">
        <v>22</v>
      </c>
      <c r="T7" s="22">
        <v>2</v>
      </c>
      <c r="U7" s="22">
        <v>0</v>
      </c>
      <c r="V7" s="22">
        <v>0</v>
      </c>
      <c r="W7" s="22">
        <v>0</v>
      </c>
      <c r="X7" s="22">
        <v>0</v>
      </c>
      <c r="Y7" s="22">
        <v>6</v>
      </c>
      <c r="Z7" s="22">
        <v>25</v>
      </c>
      <c r="AA7" s="11">
        <v>32</v>
      </c>
      <c r="AB7" s="4"/>
    </row>
    <row r="8" spans="2:27" ht="14.25">
      <c r="B8" s="7" t="s">
        <v>69</v>
      </c>
      <c r="C8" s="7">
        <v>30</v>
      </c>
      <c r="D8" s="19">
        <v>3194.31</v>
      </c>
      <c r="E8" s="20">
        <f>D8/C8</f>
        <v>106.477</v>
      </c>
      <c r="F8" s="20">
        <v>483.22</v>
      </c>
      <c r="G8" s="20">
        <v>440</v>
      </c>
      <c r="H8" s="20">
        <v>125.03</v>
      </c>
      <c r="I8" s="20">
        <v>1801.65</v>
      </c>
      <c r="J8" s="20">
        <v>276.36</v>
      </c>
      <c r="K8" s="20">
        <v>68.05</v>
      </c>
      <c r="L8" s="20"/>
      <c r="M8" s="20"/>
      <c r="N8" s="20"/>
      <c r="O8" s="21">
        <v>1</v>
      </c>
      <c r="P8" s="22">
        <v>0</v>
      </c>
      <c r="Q8" s="22">
        <v>2</v>
      </c>
      <c r="R8" s="22">
        <v>2</v>
      </c>
      <c r="S8" s="22">
        <v>0</v>
      </c>
      <c r="T8" s="22">
        <v>10</v>
      </c>
      <c r="U8" s="22">
        <v>0</v>
      </c>
      <c r="V8" s="22">
        <v>1</v>
      </c>
      <c r="W8" s="22">
        <v>0</v>
      </c>
      <c r="X8" s="22">
        <v>15</v>
      </c>
      <c r="Y8" s="22">
        <v>10</v>
      </c>
      <c r="Z8" s="22">
        <v>20</v>
      </c>
      <c r="AA8" s="11">
        <v>11</v>
      </c>
    </row>
    <row r="9" spans="2:27" ht="14.25">
      <c r="B9" s="7" t="s">
        <v>70</v>
      </c>
      <c r="C9" s="7">
        <v>31</v>
      </c>
      <c r="D9" s="19">
        <v>2785.04</v>
      </c>
      <c r="E9" s="20">
        <f>D9/C9</f>
        <v>89.84</v>
      </c>
      <c r="F9" s="20">
        <v>811.2</v>
      </c>
      <c r="G9" s="20">
        <v>465.98</v>
      </c>
      <c r="H9" s="20">
        <v>380.13</v>
      </c>
      <c r="I9" s="20">
        <v>679.08</v>
      </c>
      <c r="J9" s="20">
        <v>238.8</v>
      </c>
      <c r="K9" s="20">
        <v>209.85</v>
      </c>
      <c r="L9" s="20"/>
      <c r="M9" s="20"/>
      <c r="N9" s="20"/>
      <c r="O9" s="21">
        <v>3</v>
      </c>
      <c r="P9" s="22">
        <v>0</v>
      </c>
      <c r="Q9" s="22">
        <v>2</v>
      </c>
      <c r="R9" s="22">
        <v>1</v>
      </c>
      <c r="S9" s="22"/>
      <c r="T9" s="22">
        <v>25</v>
      </c>
      <c r="U9" s="22"/>
      <c r="V9" s="22">
        <v>3</v>
      </c>
      <c r="W9" s="22">
        <v>0</v>
      </c>
      <c r="X9" s="22">
        <v>0</v>
      </c>
      <c r="Y9" s="22">
        <v>26</v>
      </c>
      <c r="Z9" s="22">
        <v>5</v>
      </c>
      <c r="AA9" s="11">
        <v>1</v>
      </c>
    </row>
    <row r="10" spans="2:27" ht="12.75">
      <c r="B10" s="7" t="s">
        <v>71</v>
      </c>
      <c r="C10" s="7">
        <v>30</v>
      </c>
      <c r="D10" s="19">
        <v>2728.36</v>
      </c>
      <c r="E10" s="20">
        <f>D10/C10</f>
        <v>90.94533333333334</v>
      </c>
      <c r="F10" s="20">
        <v>501.2</v>
      </c>
      <c r="G10" s="20">
        <v>466.75</v>
      </c>
      <c r="H10" s="20">
        <v>486.7</v>
      </c>
      <c r="I10" s="20">
        <v>907.72</v>
      </c>
      <c r="J10" s="20">
        <v>330.09</v>
      </c>
      <c r="K10" s="20">
        <v>35.91</v>
      </c>
      <c r="L10" s="20"/>
      <c r="M10" s="20"/>
      <c r="N10" s="20"/>
      <c r="O10" s="21">
        <v>7</v>
      </c>
      <c r="P10" s="22">
        <v>0</v>
      </c>
      <c r="Q10" s="22">
        <v>2</v>
      </c>
      <c r="R10" s="22">
        <v>0</v>
      </c>
      <c r="S10" s="22">
        <v>0</v>
      </c>
      <c r="T10" s="22">
        <v>26</v>
      </c>
      <c r="U10" s="22">
        <v>0</v>
      </c>
      <c r="V10" s="22">
        <v>2</v>
      </c>
      <c r="W10" s="22">
        <v>0</v>
      </c>
      <c r="X10" s="22">
        <v>0</v>
      </c>
      <c r="Y10" s="22">
        <v>15</v>
      </c>
      <c r="Z10" s="22">
        <v>15</v>
      </c>
      <c r="AA10" s="11">
        <v>4</v>
      </c>
    </row>
    <row r="11" spans="2:27" ht="14.25">
      <c r="B11" s="7" t="s">
        <v>72</v>
      </c>
      <c r="C11" s="7">
        <v>31</v>
      </c>
      <c r="D11" s="19">
        <v>2487.539</v>
      </c>
      <c r="E11" s="20">
        <f>D11/C11</f>
        <v>80.2431935483871</v>
      </c>
      <c r="F11" s="20">
        <v>607.5</v>
      </c>
      <c r="G11" s="20">
        <v>430.98</v>
      </c>
      <c r="H11" s="20">
        <v>1001.35</v>
      </c>
      <c r="I11" s="20">
        <v>88.8</v>
      </c>
      <c r="J11" s="20">
        <v>171.03</v>
      </c>
      <c r="K11" s="20">
        <v>187.89</v>
      </c>
      <c r="L11" s="20"/>
      <c r="M11" s="20"/>
      <c r="N11" s="20"/>
      <c r="O11" s="21"/>
      <c r="P11" s="22">
        <v>0</v>
      </c>
      <c r="Q11" s="22">
        <v>0</v>
      </c>
      <c r="R11" s="22">
        <v>0</v>
      </c>
      <c r="S11" s="22">
        <v>0</v>
      </c>
      <c r="T11" s="22">
        <v>22</v>
      </c>
      <c r="U11" s="22">
        <v>0</v>
      </c>
      <c r="V11" s="22">
        <v>9</v>
      </c>
      <c r="W11" s="22">
        <v>0</v>
      </c>
      <c r="X11" s="22">
        <v>0</v>
      </c>
      <c r="Y11" s="22">
        <v>16</v>
      </c>
      <c r="Z11" s="22">
        <v>15</v>
      </c>
      <c r="AA11" s="11">
        <v>0</v>
      </c>
    </row>
    <row r="12" spans="2:27" ht="14.25">
      <c r="B12" s="7" t="s">
        <v>73</v>
      </c>
      <c r="C12" s="7">
        <v>31</v>
      </c>
      <c r="D12" s="19">
        <v>2808.9948</v>
      </c>
      <c r="E12" s="20">
        <f>D12/C12</f>
        <v>90.61273548387096</v>
      </c>
      <c r="F12" s="20">
        <v>287.28</v>
      </c>
      <c r="G12" s="20">
        <v>942.7668</v>
      </c>
      <c r="H12" s="20">
        <v>217.843</v>
      </c>
      <c r="I12" s="20">
        <v>83.68</v>
      </c>
      <c r="J12" s="20">
        <v>156.76</v>
      </c>
      <c r="K12" s="20">
        <v>26.265</v>
      </c>
      <c r="L12" s="20"/>
      <c r="M12" s="20">
        <v>1094.4</v>
      </c>
      <c r="N12" s="20"/>
      <c r="O12" s="21">
        <v>1</v>
      </c>
      <c r="P12" s="22">
        <v>0</v>
      </c>
      <c r="Q12" s="22">
        <v>0</v>
      </c>
      <c r="R12" s="22">
        <v>0</v>
      </c>
      <c r="S12" s="22">
        <v>3</v>
      </c>
      <c r="T12" s="22">
        <v>28</v>
      </c>
      <c r="U12" s="22">
        <v>0</v>
      </c>
      <c r="V12" s="22">
        <v>0</v>
      </c>
      <c r="W12" s="22">
        <v>0</v>
      </c>
      <c r="X12" s="22">
        <v>0</v>
      </c>
      <c r="Y12" s="22">
        <v>17</v>
      </c>
      <c r="Z12" s="22">
        <v>14</v>
      </c>
      <c r="AA12" s="11">
        <v>7</v>
      </c>
    </row>
    <row r="13" spans="2:27" ht="14.25">
      <c r="B13" s="7" t="s">
        <v>74</v>
      </c>
      <c r="C13" s="7">
        <v>30</v>
      </c>
      <c r="D13" s="19">
        <v>1965.57</v>
      </c>
      <c r="E13" s="20">
        <f>D13/C13</f>
        <v>65.51899999999999</v>
      </c>
      <c r="F13" s="20">
        <v>477.67</v>
      </c>
      <c r="G13" s="20">
        <v>506.71</v>
      </c>
      <c r="H13" s="20">
        <v>412.65</v>
      </c>
      <c r="I13" s="20">
        <v>123.48</v>
      </c>
      <c r="J13" s="20">
        <v>279.53</v>
      </c>
      <c r="K13" s="20">
        <v>165.53</v>
      </c>
      <c r="L13" s="20"/>
      <c r="M13" s="20"/>
      <c r="N13" s="20"/>
      <c r="O13" s="21">
        <v>1</v>
      </c>
      <c r="P13" s="22">
        <v>0</v>
      </c>
      <c r="Q13" s="22">
        <v>0</v>
      </c>
      <c r="R13" s="22">
        <v>0</v>
      </c>
      <c r="S13" s="22">
        <v>0</v>
      </c>
      <c r="T13" s="22">
        <v>29</v>
      </c>
      <c r="U13" s="22">
        <v>0</v>
      </c>
      <c r="V13" s="22">
        <v>1</v>
      </c>
      <c r="W13" s="22">
        <v>0</v>
      </c>
      <c r="X13" s="22">
        <v>0</v>
      </c>
      <c r="Y13" s="22">
        <v>12</v>
      </c>
      <c r="Z13" s="22">
        <v>18</v>
      </c>
      <c r="AA13" s="11">
        <v>1</v>
      </c>
    </row>
    <row r="14" spans="2:27" ht="12.75">
      <c r="B14" s="7" t="s">
        <v>75</v>
      </c>
      <c r="C14" s="7">
        <v>31</v>
      </c>
      <c r="D14" s="19">
        <v>2330.09</v>
      </c>
      <c r="E14" s="20">
        <f>D14/C14</f>
        <v>75.1641935483871</v>
      </c>
      <c r="F14" s="20">
        <v>607.26</v>
      </c>
      <c r="G14" s="20">
        <v>568.9</v>
      </c>
      <c r="H14" s="20">
        <v>608.13</v>
      </c>
      <c r="I14" s="20">
        <v>97.86</v>
      </c>
      <c r="J14" s="20">
        <v>263.7</v>
      </c>
      <c r="K14" s="20">
        <v>11.95</v>
      </c>
      <c r="L14" s="20"/>
      <c r="M14" s="20">
        <v>172.29</v>
      </c>
      <c r="N14" s="20"/>
      <c r="O14" s="21">
        <v>0</v>
      </c>
      <c r="P14" s="22">
        <v>0</v>
      </c>
      <c r="Q14" s="22">
        <v>1</v>
      </c>
      <c r="R14" s="22">
        <v>0</v>
      </c>
      <c r="S14" s="22">
        <v>0</v>
      </c>
      <c r="T14" s="22">
        <v>28</v>
      </c>
      <c r="U14" s="22">
        <v>0</v>
      </c>
      <c r="V14" s="22">
        <v>2</v>
      </c>
      <c r="W14" s="22">
        <v>0</v>
      </c>
      <c r="X14" s="22">
        <v>0</v>
      </c>
      <c r="Y14" s="22">
        <v>14</v>
      </c>
      <c r="Z14" s="22">
        <v>17</v>
      </c>
      <c r="AA14" s="11">
        <v>0</v>
      </c>
    </row>
    <row r="15" spans="2:27" ht="12.75">
      <c r="B15" s="7" t="s">
        <v>64</v>
      </c>
      <c r="C15" s="7">
        <v>30</v>
      </c>
      <c r="D15" s="19">
        <v>2261.64</v>
      </c>
      <c r="E15" s="20">
        <f>D15/C15</f>
        <v>75.38799999999999</v>
      </c>
      <c r="F15" s="20">
        <v>825.56889523988</v>
      </c>
      <c r="G15" s="20">
        <v>533.29</v>
      </c>
      <c r="H15" s="20">
        <v>446.297034295352</v>
      </c>
      <c r="I15" s="20">
        <v>189.18</v>
      </c>
      <c r="J15" s="20">
        <v>245.78</v>
      </c>
      <c r="K15" s="20">
        <v>14.36</v>
      </c>
      <c r="L15" s="20"/>
      <c r="M15" s="20">
        <v>7.17</v>
      </c>
      <c r="N15" s="20"/>
      <c r="O15" s="21">
        <v>0</v>
      </c>
      <c r="P15" s="22">
        <v>0</v>
      </c>
      <c r="Q15" s="22">
        <v>0</v>
      </c>
      <c r="R15" s="22">
        <v>0</v>
      </c>
      <c r="S15" s="22">
        <v>3</v>
      </c>
      <c r="T15" s="22">
        <v>27</v>
      </c>
      <c r="U15" s="22">
        <v>0</v>
      </c>
      <c r="V15" s="22">
        <v>0</v>
      </c>
      <c r="W15" s="22">
        <v>0</v>
      </c>
      <c r="X15" s="22">
        <v>0</v>
      </c>
      <c r="Y15" s="22">
        <v>26</v>
      </c>
      <c r="Z15" s="22">
        <v>4</v>
      </c>
      <c r="AA15" s="11">
        <v>0</v>
      </c>
    </row>
    <row r="16" spans="2:27" ht="12.75">
      <c r="B16" s="7" t="s">
        <v>65</v>
      </c>
      <c r="C16" s="7">
        <v>31</v>
      </c>
      <c r="D16" s="19">
        <v>1157.47</v>
      </c>
      <c r="E16" s="20">
        <f>D16/C16</f>
        <v>37.33774193548387</v>
      </c>
      <c r="F16" s="20">
        <v>258.22</v>
      </c>
      <c r="G16" s="20">
        <v>309.63</v>
      </c>
      <c r="H16" s="20">
        <v>60.77</v>
      </c>
      <c r="I16" s="20">
        <v>82.18</v>
      </c>
      <c r="J16" s="20">
        <v>369.53</v>
      </c>
      <c r="K16" s="20">
        <v>77.13</v>
      </c>
      <c r="L16" s="20"/>
      <c r="M16" s="20"/>
      <c r="N16" s="20"/>
      <c r="O16" s="21">
        <v>2</v>
      </c>
      <c r="P16" s="22">
        <v>0</v>
      </c>
      <c r="Q16" s="22">
        <v>1</v>
      </c>
      <c r="R16" s="22">
        <v>0</v>
      </c>
      <c r="S16" s="22">
        <v>0</v>
      </c>
      <c r="T16" s="22">
        <v>30</v>
      </c>
      <c r="U16" s="22">
        <v>0</v>
      </c>
      <c r="V16" s="22">
        <v>0</v>
      </c>
      <c r="W16" s="22">
        <v>0</v>
      </c>
      <c r="X16" s="22">
        <v>0</v>
      </c>
      <c r="Y16" s="22">
        <v>30</v>
      </c>
      <c r="Z16" s="22">
        <v>1</v>
      </c>
      <c r="AA16" s="11">
        <v>0</v>
      </c>
    </row>
    <row r="17" spans="2:27" ht="12.75">
      <c r="B17" s="7" t="s">
        <v>76</v>
      </c>
      <c r="C17" s="7">
        <v>31</v>
      </c>
      <c r="D17" s="19">
        <v>2461.27975047619</v>
      </c>
      <c r="E17" s="20">
        <f>D17/C17</f>
        <v>79.3961209831029</v>
      </c>
      <c r="F17" s="20">
        <v>711.21</v>
      </c>
      <c r="G17" s="20">
        <v>570.69</v>
      </c>
      <c r="H17" s="20">
        <v>440.73</v>
      </c>
      <c r="I17" s="20">
        <v>61.59</v>
      </c>
      <c r="J17" s="20">
        <v>467.04</v>
      </c>
      <c r="K17" s="20">
        <v>210.03</v>
      </c>
      <c r="L17" s="20"/>
      <c r="M17" s="20"/>
      <c r="N17" s="20"/>
      <c r="O17" s="21">
        <v>1</v>
      </c>
      <c r="P17" s="22">
        <v>0</v>
      </c>
      <c r="Q17" s="22">
        <v>2</v>
      </c>
      <c r="R17" s="22">
        <v>1</v>
      </c>
      <c r="S17" s="22">
        <v>5</v>
      </c>
      <c r="T17" s="22">
        <v>23</v>
      </c>
      <c r="U17" s="22">
        <v>0</v>
      </c>
      <c r="V17" s="22">
        <v>0</v>
      </c>
      <c r="W17" s="22">
        <v>0</v>
      </c>
      <c r="X17" s="22">
        <v>0</v>
      </c>
      <c r="Y17" s="22">
        <v>27</v>
      </c>
      <c r="Z17" s="22">
        <v>4</v>
      </c>
      <c r="AA17" s="11">
        <v>0</v>
      </c>
    </row>
    <row r="18" spans="2:27" ht="12.75">
      <c r="B18" s="7" t="s">
        <v>77</v>
      </c>
      <c r="C18" s="7">
        <v>28</v>
      </c>
      <c r="D18" s="19">
        <v>1485.6045225</v>
      </c>
      <c r="E18" s="20">
        <f>D18/C18</f>
        <v>53.057304375</v>
      </c>
      <c r="F18" s="20">
        <v>278.62</v>
      </c>
      <c r="G18" s="20">
        <v>751.97</v>
      </c>
      <c r="H18" s="20">
        <v>180.46</v>
      </c>
      <c r="I18" s="20">
        <v>0</v>
      </c>
      <c r="J18" s="20">
        <v>1.73</v>
      </c>
      <c r="K18" s="20">
        <v>272.82</v>
      </c>
      <c r="L18" s="20"/>
      <c r="M18" s="20"/>
      <c r="N18" s="20"/>
      <c r="O18" s="21"/>
      <c r="P18" s="22">
        <v>0</v>
      </c>
      <c r="Q18" s="22">
        <v>0</v>
      </c>
      <c r="R18" s="22">
        <v>0</v>
      </c>
      <c r="S18" s="22">
        <v>28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28</v>
      </c>
      <c r="Z18" s="22">
        <v>0</v>
      </c>
      <c r="AA18" s="11">
        <v>0</v>
      </c>
    </row>
    <row r="19" spans="2:27" ht="12.75">
      <c r="B19" s="7" t="s">
        <v>78</v>
      </c>
      <c r="C19" s="7">
        <v>31</v>
      </c>
      <c r="D19" s="19">
        <v>4718.01</v>
      </c>
      <c r="E19" s="20">
        <f>D19/C19</f>
        <v>152.19387096774193</v>
      </c>
      <c r="F19" s="20">
        <v>1427.69</v>
      </c>
      <c r="G19" s="20">
        <v>771.23</v>
      </c>
      <c r="H19" s="20">
        <v>943.92</v>
      </c>
      <c r="I19" s="20">
        <v>1076.4</v>
      </c>
      <c r="J19" s="20">
        <v>319.61</v>
      </c>
      <c r="K19" s="20">
        <v>67.5</v>
      </c>
      <c r="L19" s="20"/>
      <c r="M19" s="20">
        <v>111.66</v>
      </c>
      <c r="N19" s="20"/>
      <c r="O19" s="21">
        <v>1</v>
      </c>
      <c r="P19" s="22">
        <v>0</v>
      </c>
      <c r="Q19" s="22">
        <v>4</v>
      </c>
      <c r="R19" s="22">
        <v>0</v>
      </c>
      <c r="S19" s="22">
        <v>4</v>
      </c>
      <c r="T19" s="22">
        <v>22</v>
      </c>
      <c r="U19" s="22">
        <v>0</v>
      </c>
      <c r="V19" s="22">
        <v>1</v>
      </c>
      <c r="W19" s="22">
        <v>0</v>
      </c>
      <c r="X19" s="22">
        <v>0</v>
      </c>
      <c r="Y19" s="22">
        <v>24</v>
      </c>
      <c r="Z19" s="22">
        <v>7</v>
      </c>
      <c r="AA19" s="11">
        <v>0</v>
      </c>
    </row>
    <row r="20" spans="2:27" ht="14.25">
      <c r="B20" s="7" t="s">
        <v>79</v>
      </c>
      <c r="C20" s="7">
        <v>30</v>
      </c>
      <c r="D20" s="19">
        <v>2516.84</v>
      </c>
      <c r="E20" s="20">
        <f>D20/C20</f>
        <v>83.89466666666667</v>
      </c>
      <c r="F20" s="20">
        <v>964.100170079105</v>
      </c>
      <c r="G20" s="20">
        <v>714.083853046958</v>
      </c>
      <c r="H20" s="20">
        <v>204.669267654791</v>
      </c>
      <c r="I20" s="20">
        <v>154.488</v>
      </c>
      <c r="J20" s="20">
        <v>199.58625</v>
      </c>
      <c r="K20" s="20">
        <v>139.283248504728</v>
      </c>
      <c r="L20" s="20">
        <v>140.63</v>
      </c>
      <c r="M20" s="20"/>
      <c r="N20" s="20"/>
      <c r="O20" s="21">
        <v>0</v>
      </c>
      <c r="P20" s="22">
        <v>0</v>
      </c>
      <c r="Q20" s="22">
        <v>2</v>
      </c>
      <c r="R20" s="22">
        <v>0</v>
      </c>
      <c r="S20" s="22">
        <v>0</v>
      </c>
      <c r="T20" s="22">
        <v>9</v>
      </c>
      <c r="U20" s="22">
        <v>0</v>
      </c>
      <c r="V20" s="22">
        <v>0</v>
      </c>
      <c r="W20" s="22">
        <v>19</v>
      </c>
      <c r="X20" s="22">
        <v>0</v>
      </c>
      <c r="Y20" s="22">
        <v>22</v>
      </c>
      <c r="Z20" s="22">
        <v>8</v>
      </c>
      <c r="AA20" s="11">
        <v>2</v>
      </c>
    </row>
    <row r="21" spans="2:27" ht="14.25">
      <c r="B21" s="7" t="s">
        <v>80</v>
      </c>
      <c r="C21" s="7">
        <v>31</v>
      </c>
      <c r="D21" s="19">
        <v>2245.34628</v>
      </c>
      <c r="E21" s="20">
        <f>D21/C21</f>
        <v>72.43052516129033</v>
      </c>
      <c r="F21" s="20">
        <v>616.6215</v>
      </c>
      <c r="G21" s="20">
        <v>664.1517</v>
      </c>
      <c r="H21" s="20">
        <v>179.20654</v>
      </c>
      <c r="I21" s="20">
        <v>68.29184</v>
      </c>
      <c r="J21" s="20">
        <v>639.07654</v>
      </c>
      <c r="K21" s="20">
        <v>29.91216</v>
      </c>
      <c r="L21" s="20">
        <v>48.09</v>
      </c>
      <c r="M21" s="20"/>
      <c r="N21" s="20"/>
      <c r="O21" s="21">
        <v>1</v>
      </c>
      <c r="P21" s="22">
        <v>0</v>
      </c>
      <c r="Q21" s="22">
        <v>0</v>
      </c>
      <c r="R21" s="22">
        <v>0</v>
      </c>
      <c r="S21" s="22">
        <v>7</v>
      </c>
      <c r="T21" s="22">
        <v>23</v>
      </c>
      <c r="U21" s="22">
        <v>0</v>
      </c>
      <c r="V21" s="22">
        <v>0</v>
      </c>
      <c r="W21" s="22">
        <v>1</v>
      </c>
      <c r="X21" s="22">
        <v>0</v>
      </c>
      <c r="Y21" s="22">
        <v>14</v>
      </c>
      <c r="Z21" s="22">
        <v>17</v>
      </c>
      <c r="AA21" s="11">
        <v>2</v>
      </c>
    </row>
    <row r="22" spans="2:27" ht="14.25">
      <c r="B22" s="7" t="s">
        <v>81</v>
      </c>
      <c r="C22" s="7">
        <v>30</v>
      </c>
      <c r="D22" s="19">
        <v>3243.55533</v>
      </c>
      <c r="E22" s="20">
        <f>D22/C22</f>
        <v>108.118511</v>
      </c>
      <c r="F22" s="20">
        <v>785.67411</v>
      </c>
      <c r="G22" s="20">
        <v>622.4772</v>
      </c>
      <c r="H22" s="20">
        <v>334.45738</v>
      </c>
      <c r="I22" s="20">
        <v>188.101</v>
      </c>
      <c r="J22" s="20">
        <v>443.91295</v>
      </c>
      <c r="K22" s="20">
        <v>868.93269</v>
      </c>
      <c r="L22" s="20"/>
      <c r="M22" s="20"/>
      <c r="N22" s="20"/>
      <c r="O22" s="21">
        <v>3</v>
      </c>
      <c r="P22" s="22">
        <v>0</v>
      </c>
      <c r="Q22" s="22">
        <v>0</v>
      </c>
      <c r="R22" s="22">
        <v>0</v>
      </c>
      <c r="S22" s="22">
        <v>0</v>
      </c>
      <c r="T22" s="22">
        <v>30</v>
      </c>
      <c r="U22" s="22">
        <v>0</v>
      </c>
      <c r="V22" s="22">
        <v>0</v>
      </c>
      <c r="W22" s="22">
        <v>0</v>
      </c>
      <c r="X22" s="22">
        <v>0</v>
      </c>
      <c r="Y22" s="22">
        <v>22</v>
      </c>
      <c r="Z22" s="22">
        <v>8</v>
      </c>
      <c r="AA22" s="11">
        <v>1</v>
      </c>
    </row>
    <row r="23" spans="2:27" ht="14.25">
      <c r="B23" s="7" t="s">
        <v>82</v>
      </c>
      <c r="C23" s="7">
        <v>31</v>
      </c>
      <c r="D23" s="19">
        <v>3041.91</v>
      </c>
      <c r="E23" s="20">
        <f>D23/C23</f>
        <v>98.12612903225806</v>
      </c>
      <c r="F23" s="20">
        <v>1128.73</v>
      </c>
      <c r="G23" s="20">
        <v>745.73</v>
      </c>
      <c r="H23" s="20">
        <v>377.99</v>
      </c>
      <c r="I23" s="20">
        <v>322.11</v>
      </c>
      <c r="J23" s="20">
        <v>236.74</v>
      </c>
      <c r="K23" s="20">
        <v>29.44</v>
      </c>
      <c r="L23" s="20">
        <v>194.36</v>
      </c>
      <c r="M23" s="20"/>
      <c r="N23" s="20"/>
      <c r="O23" s="21">
        <v>2</v>
      </c>
      <c r="P23" s="22">
        <v>0</v>
      </c>
      <c r="Q23" s="22">
        <v>9</v>
      </c>
      <c r="R23" s="22">
        <v>0</v>
      </c>
      <c r="S23" s="22">
        <v>0</v>
      </c>
      <c r="T23" s="22">
        <v>19</v>
      </c>
      <c r="U23" s="22">
        <v>0</v>
      </c>
      <c r="V23" s="22">
        <v>0</v>
      </c>
      <c r="W23" s="22">
        <v>3</v>
      </c>
      <c r="X23" s="22">
        <v>0</v>
      </c>
      <c r="Y23" s="22">
        <v>27</v>
      </c>
      <c r="Z23" s="22">
        <v>4</v>
      </c>
      <c r="AA23" s="11">
        <v>11</v>
      </c>
    </row>
    <row r="24" spans="2:27" ht="14.25">
      <c r="B24" s="7" t="s">
        <v>83</v>
      </c>
      <c r="C24" s="7">
        <v>31</v>
      </c>
      <c r="D24" s="19">
        <v>4025.22</v>
      </c>
      <c r="E24" s="20">
        <f>D24/C24</f>
        <v>129.8458064516129</v>
      </c>
      <c r="F24" s="20">
        <v>1106.28</v>
      </c>
      <c r="G24" s="20">
        <v>721.44</v>
      </c>
      <c r="H24" s="20">
        <v>294.31</v>
      </c>
      <c r="I24" s="20">
        <v>193.67</v>
      </c>
      <c r="J24" s="20">
        <v>141.68</v>
      </c>
      <c r="K24" s="20">
        <v>28.5</v>
      </c>
      <c r="L24" s="20"/>
      <c r="M24" s="20">
        <v>1539.35</v>
      </c>
      <c r="N24" s="20"/>
      <c r="O24" s="21">
        <v>1</v>
      </c>
      <c r="P24" s="22">
        <v>0</v>
      </c>
      <c r="Q24" s="22">
        <v>0</v>
      </c>
      <c r="R24" s="22">
        <v>0</v>
      </c>
      <c r="S24" s="22">
        <v>0</v>
      </c>
      <c r="T24" s="22">
        <v>4</v>
      </c>
      <c r="U24" s="22">
        <v>0</v>
      </c>
      <c r="V24" s="22">
        <v>0</v>
      </c>
      <c r="W24" s="22">
        <v>27</v>
      </c>
      <c r="X24" s="22">
        <v>0</v>
      </c>
      <c r="Y24" s="22">
        <v>27</v>
      </c>
      <c r="Z24" s="22">
        <v>4</v>
      </c>
      <c r="AA24" s="11">
        <v>3</v>
      </c>
    </row>
    <row r="25" spans="2:27" ht="14.25">
      <c r="B25" s="7" t="s">
        <v>84</v>
      </c>
      <c r="C25" s="7">
        <v>30</v>
      </c>
      <c r="D25" s="19">
        <v>2012.56</v>
      </c>
      <c r="E25" s="20">
        <f>D25/C25</f>
        <v>67.08533333333334</v>
      </c>
      <c r="F25" s="20">
        <v>684.03</v>
      </c>
      <c r="G25" s="20">
        <v>571.04</v>
      </c>
      <c r="H25" s="20">
        <v>450</v>
      </c>
      <c r="I25" s="20">
        <v>1.89</v>
      </c>
      <c r="J25" s="20">
        <v>178.24</v>
      </c>
      <c r="K25" s="20">
        <v>127.27</v>
      </c>
      <c r="L25" s="20"/>
      <c r="M25" s="20"/>
      <c r="N25" s="20"/>
      <c r="O25" s="21">
        <v>1</v>
      </c>
      <c r="P25" s="22">
        <v>0</v>
      </c>
      <c r="Q25" s="22">
        <v>0</v>
      </c>
      <c r="R25" s="22">
        <v>0</v>
      </c>
      <c r="S25" s="22">
        <v>0</v>
      </c>
      <c r="T25" s="22">
        <v>7</v>
      </c>
      <c r="U25" s="22">
        <v>0</v>
      </c>
      <c r="V25" s="22">
        <v>0</v>
      </c>
      <c r="W25" s="22">
        <v>12</v>
      </c>
      <c r="X25" s="22">
        <v>11</v>
      </c>
      <c r="Y25" s="22">
        <v>17</v>
      </c>
      <c r="Z25" s="22">
        <v>13</v>
      </c>
      <c r="AA25" s="11">
        <v>0</v>
      </c>
    </row>
    <row r="26" spans="2:27" ht="14.25">
      <c r="B26" s="7" t="s">
        <v>85</v>
      </c>
      <c r="C26" s="7">
        <v>31</v>
      </c>
      <c r="D26" s="19">
        <v>3015.84</v>
      </c>
      <c r="E26" s="20">
        <f>D26/C26</f>
        <v>97.28516129032259</v>
      </c>
      <c r="F26" s="20">
        <v>1279.66</v>
      </c>
      <c r="G26" s="20">
        <v>673.74</v>
      </c>
      <c r="H26" s="20">
        <v>463.43</v>
      </c>
      <c r="I26" s="20">
        <v>130.57</v>
      </c>
      <c r="J26" s="20">
        <v>184.51</v>
      </c>
      <c r="K26" s="20">
        <v>283.92</v>
      </c>
      <c r="L26" s="20"/>
      <c r="M26" s="20"/>
      <c r="N26" s="20"/>
      <c r="O26" s="21"/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</v>
      </c>
      <c r="W26" s="22">
        <v>30</v>
      </c>
      <c r="X26" s="22">
        <v>0</v>
      </c>
      <c r="Y26" s="22">
        <v>30</v>
      </c>
      <c r="Z26" s="22">
        <v>1</v>
      </c>
      <c r="AA26" s="11">
        <v>0</v>
      </c>
    </row>
    <row r="27" spans="2:27" ht="12.75">
      <c r="B27" s="7" t="s">
        <v>86</v>
      </c>
      <c r="C27" s="7">
        <v>30</v>
      </c>
      <c r="D27" s="19">
        <v>5422.83</v>
      </c>
      <c r="E27" s="20">
        <f>D27/C27</f>
        <v>180.761</v>
      </c>
      <c r="F27" s="20">
        <v>1197.97</v>
      </c>
      <c r="G27" s="20">
        <v>747.07</v>
      </c>
      <c r="H27" s="20">
        <v>796.23</v>
      </c>
      <c r="I27" s="20">
        <v>40.5</v>
      </c>
      <c r="J27" s="20">
        <v>353.05</v>
      </c>
      <c r="K27" s="20">
        <v>331.26</v>
      </c>
      <c r="L27" s="20"/>
      <c r="M27" s="20">
        <v>1956.75</v>
      </c>
      <c r="N27" s="20"/>
      <c r="O27" s="21"/>
      <c r="P27" s="22">
        <v>0</v>
      </c>
      <c r="Q27" s="22">
        <v>0</v>
      </c>
      <c r="R27" s="22">
        <v>0</v>
      </c>
      <c r="S27" s="22">
        <v>0</v>
      </c>
      <c r="T27" s="22">
        <v>12</v>
      </c>
      <c r="U27" s="22">
        <v>0</v>
      </c>
      <c r="V27" s="22">
        <v>3</v>
      </c>
      <c r="W27" s="22">
        <v>14</v>
      </c>
      <c r="X27" s="22">
        <v>1</v>
      </c>
      <c r="Y27" s="22">
        <v>26</v>
      </c>
      <c r="Z27" s="22">
        <v>4</v>
      </c>
      <c r="AA27" s="11">
        <v>0</v>
      </c>
    </row>
    <row r="28" spans="2:27" ht="12.75">
      <c r="B28" s="7" t="s">
        <v>87</v>
      </c>
      <c r="C28" s="7">
        <v>31</v>
      </c>
      <c r="D28" s="19">
        <v>3254.04</v>
      </c>
      <c r="E28" s="20">
        <f>D28/C28</f>
        <v>104.96903225806452</v>
      </c>
      <c r="F28" s="20">
        <v>1303.59</v>
      </c>
      <c r="G28" s="20">
        <v>425.62</v>
      </c>
      <c r="H28" s="20">
        <v>4801.23</v>
      </c>
      <c r="I28" s="20">
        <v>190.7</v>
      </c>
      <c r="J28" s="20">
        <v>495.75</v>
      </c>
      <c r="K28" s="20">
        <v>121.48</v>
      </c>
      <c r="L28" s="20"/>
      <c r="M28" s="20">
        <v>84.76</v>
      </c>
      <c r="N28" s="20"/>
      <c r="O28" s="21"/>
      <c r="P28" s="22">
        <v>0</v>
      </c>
      <c r="Q28" s="22">
        <v>0</v>
      </c>
      <c r="R28" s="22">
        <v>0</v>
      </c>
      <c r="S28" s="22">
        <v>0</v>
      </c>
      <c r="T28" s="22">
        <v>21</v>
      </c>
      <c r="U28" s="22">
        <v>0</v>
      </c>
      <c r="V28" s="22">
        <v>6</v>
      </c>
      <c r="W28" s="22">
        <v>3</v>
      </c>
      <c r="X28" s="22">
        <v>0</v>
      </c>
      <c r="Y28" s="22">
        <v>25</v>
      </c>
      <c r="Z28" s="22">
        <v>6</v>
      </c>
      <c r="AA28" s="11">
        <v>0</v>
      </c>
    </row>
    <row r="29" spans="2:26" ht="12.75">
      <c r="B29" s="7"/>
      <c r="D29" s="19"/>
      <c r="E29" s="20" t="e">
        <f>D29/C29</f>
        <v>#DIV/0!</v>
      </c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ht="12.75">
      <c r="B30" s="7"/>
      <c r="D30" s="19"/>
      <c r="E30" s="20" t="e">
        <f>D30/C30</f>
        <v>#DIV/0!</v>
      </c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2:26" ht="12.75">
      <c r="B31" s="7"/>
      <c r="D31" s="19"/>
      <c r="E31" s="20" t="e">
        <f>D31/C31</f>
        <v>#DIV/0!</v>
      </c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2:26" ht="12.75">
      <c r="B32" s="7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ht="12.75">
      <c r="B33" s="7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2:26" ht="12.75">
      <c r="B34" s="7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2:26" ht="12.75">
      <c r="B35" s="7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2:26" ht="12.75">
      <c r="B36" s="7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2:26" ht="12.75">
      <c r="B37" s="7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2:26" ht="12.75">
      <c r="B38" s="6" t="s">
        <v>88</v>
      </c>
      <c r="D38" s="19">
        <f>SUM(D32:D37)</f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5:26" ht="12.75">
      <c r="E39" s="20"/>
      <c r="F39" s="20"/>
      <c r="G39" s="20"/>
      <c r="H39" s="20"/>
      <c r="I39" s="20"/>
      <c r="J39" s="20"/>
      <c r="K39" s="20"/>
      <c r="L39" s="20"/>
      <c r="M39" s="20"/>
      <c r="N39" s="20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2:28" s="1" customFormat="1" ht="12.75">
      <c r="B40" s="7" t="s">
        <v>89</v>
      </c>
      <c r="C40" s="7">
        <f>SUM(C2:C38)</f>
        <v>825</v>
      </c>
      <c r="D40" s="23">
        <f>SUM(D2:D30)</f>
        <v>72443.6396829762</v>
      </c>
      <c r="E40" s="20">
        <f>D40/C40</f>
        <v>87.81047234300145</v>
      </c>
      <c r="F40" s="20">
        <f>SUM(F2:F30)</f>
        <v>19848.33467531899</v>
      </c>
      <c r="G40" s="20">
        <f>SUM(G2:G30)</f>
        <v>17211.876403046954</v>
      </c>
      <c r="H40" s="20">
        <f>SUM(H2:H30)</f>
        <v>16353.293221950142</v>
      </c>
      <c r="I40" s="20">
        <f>SUM(I2:I30)</f>
        <v>7363.210840000001</v>
      </c>
      <c r="J40" s="20">
        <f>SUM(J2:J30)</f>
        <v>6795.10574</v>
      </c>
      <c r="K40" s="20">
        <f>SUM(K2:K30)</f>
        <v>3684.403098504728</v>
      </c>
      <c r="L40" s="20">
        <f>SUM(L2:L30)</f>
        <v>383.08000000000004</v>
      </c>
      <c r="M40" s="20">
        <f>SUM(M2:M30)</f>
        <v>4966.38</v>
      </c>
      <c r="N40" s="20">
        <f>D38</f>
        <v>0</v>
      </c>
      <c r="O40" s="21">
        <f>SUM(O2:O39)</f>
        <v>29</v>
      </c>
      <c r="P40" s="22">
        <f>SUM(P2:P38)</f>
        <v>25</v>
      </c>
      <c r="Q40" s="22">
        <f>SUM(Q2:Q38)</f>
        <v>70</v>
      </c>
      <c r="R40" s="22">
        <f>SUM(R5:R38)</f>
        <v>15</v>
      </c>
      <c r="S40" s="22">
        <f>SUM(S2:S38)</f>
        <v>99</v>
      </c>
      <c r="T40" s="22">
        <f>SUM(T2:T38)</f>
        <v>418</v>
      </c>
      <c r="U40" s="22">
        <f>SUM(U2:U38)</f>
        <v>1</v>
      </c>
      <c r="V40" s="22">
        <f>SUM(V2:V38)</f>
        <v>33</v>
      </c>
      <c r="W40" s="22"/>
      <c r="X40" s="22">
        <f>SUM(X2:X38)</f>
        <v>53</v>
      </c>
      <c r="Y40" s="22">
        <f>SUM(Y2:Y38)</f>
        <v>512</v>
      </c>
      <c r="Z40" s="22">
        <f>SUM(Z2:Z38)</f>
        <v>313</v>
      </c>
      <c r="AA40" s="11">
        <f>SUM(AA2:AA39)</f>
        <v>136</v>
      </c>
      <c r="AB40" s="4"/>
    </row>
    <row r="41" spans="2:28" s="1" customFormat="1" ht="12.75">
      <c r="B41" s="7" t="s">
        <v>90</v>
      </c>
      <c r="C41" s="7"/>
      <c r="D41" s="23">
        <f>D40/$C$40</f>
        <v>87.81047234300145</v>
      </c>
      <c r="E41" s="23"/>
      <c r="F41" s="23">
        <f>F40/$C$40</f>
        <v>24.05858748523514</v>
      </c>
      <c r="G41" s="23">
        <f>G40/$C$40</f>
        <v>20.862880488541762</v>
      </c>
      <c r="H41" s="23">
        <f>H40/$C$40</f>
        <v>19.822173602363808</v>
      </c>
      <c r="I41" s="23">
        <f>I40/$C$40</f>
        <v>8.92510404848485</v>
      </c>
      <c r="J41" s="23">
        <f>J40/$C$40</f>
        <v>8.236491806060606</v>
      </c>
      <c r="K41" s="23">
        <f>K40/$C$40</f>
        <v>4.4659431497027</v>
      </c>
      <c r="L41" s="23"/>
      <c r="M41" s="23">
        <f>M40/$C$40</f>
        <v>6.019854545454546</v>
      </c>
      <c r="N41" s="23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1"/>
      <c r="AB41" s="4"/>
    </row>
    <row r="42" spans="2:28" s="1" customFormat="1" ht="12.75">
      <c r="B42" s="7" t="s">
        <v>91</v>
      </c>
      <c r="C42" s="7">
        <f>COUNTA(B2:B39)</f>
        <v>28</v>
      </c>
      <c r="D42" s="23">
        <f>D40/$C$42</f>
        <v>2587.2728458205784</v>
      </c>
      <c r="E42" s="23"/>
      <c r="F42" s="23">
        <f>F40/$C$42</f>
        <v>708.8690955471068</v>
      </c>
      <c r="G42" s="23">
        <f>G40/$C$42</f>
        <v>614.7098715373912</v>
      </c>
      <c r="H42" s="23">
        <f>H40/$C$42</f>
        <v>584.0461864982193</v>
      </c>
      <c r="I42" s="23">
        <f>I40/$C$42</f>
        <v>262.97181571428575</v>
      </c>
      <c r="J42" s="23">
        <f>J40/$C$42</f>
        <v>242.68234785714284</v>
      </c>
      <c r="K42" s="23">
        <f>K40/$C$42</f>
        <v>131.58582494659743</v>
      </c>
      <c r="L42" s="23"/>
      <c r="M42" s="23">
        <f>M40/$C$42</f>
        <v>177.37071428571429</v>
      </c>
      <c r="N42" s="23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11"/>
      <c r="AB42" s="4"/>
    </row>
    <row r="43" spans="16:26" ht="12.75"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5"/>
  <sheetViews>
    <sheetView zoomScale="95" zoomScaleNormal="95" workbookViewId="0" topLeftCell="A1">
      <selection activeCell="A1" sqref="A1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6" width="7.75390625" style="4" customWidth="1"/>
    <col min="17" max="17" width="15.25390625" style="4" customWidth="1"/>
    <col min="18" max="18" width="5.00390625" style="4" customWidth="1"/>
    <col min="19" max="19" width="10.625" style="4" customWidth="1"/>
    <col min="20" max="20" width="6.875" style="4" customWidth="1"/>
    <col min="21" max="21" width="3.25390625" style="4" customWidth="1"/>
    <col min="22" max="22" width="8.375" style="4" customWidth="1"/>
    <col min="23" max="23" width="6.50390625" style="4" customWidth="1"/>
    <col min="24" max="24" width="7.00390625" style="4" customWidth="1"/>
    <col min="25" max="25" width="23.375" style="4" customWidth="1"/>
    <col min="26" max="26" width="15.25390625" style="4" customWidth="1"/>
    <col min="27" max="27" width="8.875" style="4" customWidth="1"/>
    <col min="28" max="28" width="9.00390625" style="24" customWidth="1"/>
    <col min="29" max="29" width="1.4921875" style="4" customWidth="1"/>
    <col min="30" max="30" width="2.75390625" style="4" customWidth="1"/>
    <col min="31" max="31" width="1.875" style="4" customWidth="1"/>
    <col min="32" max="32" width="16.50390625" style="4" customWidth="1"/>
    <col min="33" max="33" width="11.625" style="4" customWidth="1"/>
    <col min="34" max="34" width="1.4921875" style="4" customWidth="1"/>
    <col min="35" max="35" width="13.875" style="4" customWidth="1"/>
    <col min="36" max="36" width="14.25390625" style="4" customWidth="1"/>
    <col min="37" max="37" width="2.00390625" style="4" customWidth="1"/>
    <col min="38" max="38" width="22.125" style="4" customWidth="1"/>
    <col min="39" max="39" width="10.625" style="4" customWidth="1"/>
    <col min="40" max="40" width="2.375" style="4" customWidth="1"/>
    <col min="41" max="41" width="15.125" style="4" customWidth="1"/>
    <col min="42" max="42" width="10.625" style="4" customWidth="1"/>
    <col min="43" max="43" width="2.625" style="4" customWidth="1"/>
    <col min="44" max="44" width="10.625" style="4" customWidth="1"/>
    <col min="45" max="45" width="14.625" style="4" customWidth="1"/>
    <col min="46" max="16384" width="10.625" style="4" customWidth="1"/>
  </cols>
  <sheetData>
    <row r="1" spans="1:30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106</v>
      </c>
      <c r="Q1" s="4" t="s">
        <v>107</v>
      </c>
      <c r="R1" s="4" t="s">
        <v>108</v>
      </c>
      <c r="S1" s="4" t="s">
        <v>109</v>
      </c>
      <c r="T1" s="4" t="s">
        <v>110</v>
      </c>
      <c r="U1" s="4" t="s">
        <v>111</v>
      </c>
      <c r="V1" s="4" t="s">
        <v>112</v>
      </c>
      <c r="W1" s="4" t="s">
        <v>113</v>
      </c>
      <c r="X1" s="4" t="s">
        <v>114</v>
      </c>
      <c r="Z1" s="4" t="s">
        <v>115</v>
      </c>
      <c r="AA1" s="4" t="s">
        <v>116</v>
      </c>
      <c r="AB1" s="26" t="s">
        <v>117</v>
      </c>
      <c r="AD1" s="4" t="s">
        <v>118</v>
      </c>
    </row>
    <row r="2" spans="1:46" ht="14.25">
      <c r="A2" s="27">
        <v>42736</v>
      </c>
      <c r="C2" s="4">
        <f>B2*AA2</f>
        <v>0</v>
      </c>
      <c r="D2" s="4">
        <v>2700</v>
      </c>
      <c r="E2" s="4">
        <f>D2*AA2</f>
        <v>4.242857142857143</v>
      </c>
      <c r="F2" s="4">
        <f>10400+11800</f>
        <v>22200</v>
      </c>
      <c r="G2" s="4">
        <f>F2*AA2</f>
        <v>34.88571428571428</v>
      </c>
      <c r="I2" s="4">
        <f>H2*AA2</f>
        <v>0</v>
      </c>
      <c r="K2" s="4">
        <f>J2*AA2</f>
        <v>0</v>
      </c>
      <c r="L2" s="4">
        <v>10000</v>
      </c>
      <c r="M2" s="4">
        <f>L2*AA2</f>
        <v>15.714285714285714</v>
      </c>
      <c r="O2" s="4">
        <f>N2*AA2</f>
        <v>0</v>
      </c>
      <c r="R2" s="4" t="s">
        <v>119</v>
      </c>
      <c r="Y2" s="4" t="s">
        <v>120</v>
      </c>
      <c r="Z2" s="4">
        <f>B2+D2+F2+H2+J2+L2+N2</f>
        <v>34900</v>
      </c>
      <c r="AA2" s="4">
        <f>3.3/2100</f>
        <v>0.0015714285714285713</v>
      </c>
      <c r="AB2" s="24">
        <f>Z2*AA2</f>
        <v>54.842857142857135</v>
      </c>
      <c r="AD2" s="4">
        <v>7</v>
      </c>
      <c r="AF2" s="4" t="s">
        <v>121</v>
      </c>
      <c r="AG2" s="4">
        <f>SUM(AB2:AB994)</f>
        <v>2461.2797504761907</v>
      </c>
      <c r="AI2" s="4" t="s">
        <v>122</v>
      </c>
      <c r="AJ2" s="28">
        <f>AG2/AG5</f>
        <v>79.39612098310292</v>
      </c>
      <c r="AL2" s="4" t="s">
        <v>123</v>
      </c>
      <c r="AM2" s="4">
        <f>COUNTBLANK(L2:L40)-COUNTBLANK(A2:A40)</f>
        <v>4</v>
      </c>
      <c r="AN2" s="29"/>
      <c r="AO2" s="29" t="s">
        <v>124</v>
      </c>
      <c r="AP2" s="29">
        <f>SUMIF(AD2:AD44,"=7",AB2:AB44)</f>
        <v>472.17141714285714</v>
      </c>
      <c r="AQ2" s="29"/>
      <c r="AR2" s="29"/>
      <c r="AS2" s="29" t="s">
        <v>125</v>
      </c>
      <c r="AT2" s="29">
        <f>SUMIF(AD2:AD44,"=6",AB2:AB44)</f>
        <v>1989.1083333333336</v>
      </c>
    </row>
    <row r="3" spans="1:46" ht="14.25">
      <c r="A3" s="27">
        <v>42737</v>
      </c>
      <c r="B3" s="4">
        <v>400</v>
      </c>
      <c r="C3" s="4">
        <f>B3*AA3</f>
        <v>0.528</v>
      </c>
      <c r="D3" s="4">
        <f>900+900+3870</f>
        <v>5670</v>
      </c>
      <c r="E3" s="4">
        <f>D3*AA3</f>
        <v>7.4844</v>
      </c>
      <c r="F3" s="4">
        <v>17000</v>
      </c>
      <c r="G3" s="4">
        <f>F3*AA3</f>
        <v>22.44</v>
      </c>
      <c r="I3" s="4">
        <f>H3*AA3</f>
        <v>0</v>
      </c>
      <c r="K3" s="4">
        <f>J3*AA3</f>
        <v>0</v>
      </c>
      <c r="L3" s="4">
        <v>10000</v>
      </c>
      <c r="M3" s="4">
        <f>L3*AA3</f>
        <v>13.2</v>
      </c>
      <c r="O3" s="4">
        <f>N3*AA3</f>
        <v>0</v>
      </c>
      <c r="R3" s="4" t="s">
        <v>119</v>
      </c>
      <c r="Y3" s="4" t="s">
        <v>120</v>
      </c>
      <c r="Z3" s="4">
        <f>B3+D3+F3+H3+J3+L3+N3</f>
        <v>33070</v>
      </c>
      <c r="AA3" s="4">
        <f>3.3/2500</f>
        <v>0.00132</v>
      </c>
      <c r="AB3" s="24">
        <f>Z3*AA3</f>
        <v>43.6524</v>
      </c>
      <c r="AD3" s="4">
        <v>7</v>
      </c>
      <c r="AF3" s="30"/>
      <c r="AI3" s="30"/>
      <c r="AJ3" s="31"/>
      <c r="AL3" s="4" t="s">
        <v>126</v>
      </c>
      <c r="AM3" s="4">
        <f>COUNT(L2:L36)</f>
        <v>27</v>
      </c>
      <c r="AO3" s="29" t="s">
        <v>127</v>
      </c>
      <c r="AP3" s="29">
        <f>_xlfn.COUNTIFS(A2:A44,"&lt;&gt;''",AD2:AD44,"=7")</f>
        <v>8</v>
      </c>
      <c r="AQ3" s="29"/>
      <c r="AR3" s="29"/>
      <c r="AS3" s="29" t="s">
        <v>128</v>
      </c>
      <c r="AT3" s="29">
        <f>_xlfn.COUNTIFS(A2:A44,"&lt;&gt;''",AD2:AD44,"=6")</f>
        <v>23</v>
      </c>
    </row>
    <row r="4" spans="1:46" ht="14.25">
      <c r="A4" s="27">
        <v>42738</v>
      </c>
      <c r="B4" s="4">
        <f>1000+400*2+350*2+450*2</f>
        <v>3400</v>
      </c>
      <c r="C4" s="4">
        <f>B4*AA4</f>
        <v>4.4879999999999995</v>
      </c>
      <c r="D4" s="4">
        <f>1920+1550</f>
        <v>3470</v>
      </c>
      <c r="E4" s="4">
        <f>D4*AA4</f>
        <v>4.5804</v>
      </c>
      <c r="F4" s="4">
        <f>15600+13440</f>
        <v>29040</v>
      </c>
      <c r="G4" s="4">
        <f>F4*AA4</f>
        <v>38.3328</v>
      </c>
      <c r="I4" s="4">
        <f>H4*AA4</f>
        <v>0</v>
      </c>
      <c r="J4" s="4">
        <f>3450</f>
        <v>3450</v>
      </c>
      <c r="K4" s="4">
        <f>J4*AA4</f>
        <v>4.554</v>
      </c>
      <c r="L4" s="4">
        <v>25000</v>
      </c>
      <c r="M4" s="4">
        <f>L4*AA4</f>
        <v>33</v>
      </c>
      <c r="O4" s="4">
        <f>N4*AA4</f>
        <v>0</v>
      </c>
      <c r="R4" s="4" t="s">
        <v>119</v>
      </c>
      <c r="Y4" s="4" t="s">
        <v>129</v>
      </c>
      <c r="Z4" s="4">
        <f>B4+D4+F4+H4+J4+L4+N4</f>
        <v>64360</v>
      </c>
      <c r="AA4" s="4">
        <f>3.3/2500</f>
        <v>0.00132</v>
      </c>
      <c r="AB4" s="24">
        <f>Z4*AA4</f>
        <v>84.9552</v>
      </c>
      <c r="AD4" s="4">
        <v>7</v>
      </c>
      <c r="AL4" s="4" t="s">
        <v>130</v>
      </c>
      <c r="AM4" s="4">
        <f>COUNTA(U2:U49)</f>
        <v>0</v>
      </c>
      <c r="AO4" s="29" t="s">
        <v>131</v>
      </c>
      <c r="AP4" s="29">
        <f>AP2/AP3</f>
        <v>59.02142714285714</v>
      </c>
      <c r="AQ4" s="29"/>
      <c r="AR4" s="29"/>
      <c r="AS4" s="29" t="s">
        <v>132</v>
      </c>
      <c r="AT4" s="29">
        <f>AT2/AT3</f>
        <v>86.48297101449276</v>
      </c>
    </row>
    <row r="5" spans="1:39" ht="14.25">
      <c r="A5" s="27">
        <v>42739</v>
      </c>
      <c r="C5" s="4">
        <f>B5*AA5</f>
        <v>0</v>
      </c>
      <c r="D5" s="4">
        <f>4000+5228</f>
        <v>9228</v>
      </c>
      <c r="E5" s="4">
        <f>D5*AA5</f>
        <v>12.18096</v>
      </c>
      <c r="F5" s="4">
        <v>19100</v>
      </c>
      <c r="G5" s="4">
        <f>F5*AA5</f>
        <v>25.212</v>
      </c>
      <c r="H5" s="4">
        <v>6000</v>
      </c>
      <c r="I5" s="4">
        <f>H5*AA5</f>
        <v>7.92</v>
      </c>
      <c r="J5" s="4">
        <v>5500</v>
      </c>
      <c r="K5" s="4">
        <f>J5*AA5</f>
        <v>7.26</v>
      </c>
      <c r="L5" s="4">
        <v>25000</v>
      </c>
      <c r="M5" s="4">
        <f>L5*AA5</f>
        <v>33</v>
      </c>
      <c r="O5" s="4">
        <f>N5*AA5</f>
        <v>0</v>
      </c>
      <c r="R5" s="4" t="s">
        <v>119</v>
      </c>
      <c r="Y5" s="4" t="s">
        <v>133</v>
      </c>
      <c r="Z5" s="4">
        <f>B5+D5+F5+H5+J5+L5+N5</f>
        <v>64828</v>
      </c>
      <c r="AA5" s="4">
        <f>3.3/2500</f>
        <v>0.00132</v>
      </c>
      <c r="AB5" s="24">
        <f>Z5*AA5</f>
        <v>85.57296</v>
      </c>
      <c r="AD5" s="4">
        <v>7</v>
      </c>
      <c r="AF5" s="4" t="s">
        <v>134</v>
      </c>
      <c r="AG5" s="4">
        <f>COUNTA(A2:A349)</f>
        <v>31</v>
      </c>
      <c r="AL5" s="4" t="s">
        <v>135</v>
      </c>
      <c r="AM5" s="4">
        <f>COUNTA(P2:P49)</f>
        <v>2</v>
      </c>
    </row>
    <row r="6" spans="1:39" ht="14.25">
      <c r="A6" s="27">
        <v>42740</v>
      </c>
      <c r="C6" s="4">
        <f>B6*AA6</f>
        <v>0</v>
      </c>
      <c r="D6" s="4">
        <f>7250+2600+3000</f>
        <v>12850</v>
      </c>
      <c r="E6" s="4">
        <f>D6*AA6</f>
        <v>16.962</v>
      </c>
      <c r="G6" s="4">
        <f>F6*AA6</f>
        <v>0</v>
      </c>
      <c r="I6" s="4">
        <f>H6*AA6</f>
        <v>0</v>
      </c>
      <c r="K6" s="4">
        <f>J6*AA6</f>
        <v>0</v>
      </c>
      <c r="L6" s="4">
        <v>25000</v>
      </c>
      <c r="M6" s="4">
        <f>L6*AA6</f>
        <v>33</v>
      </c>
      <c r="O6" s="4">
        <f>N6*AA6</f>
        <v>0</v>
      </c>
      <c r="R6" s="4" t="s">
        <v>119</v>
      </c>
      <c r="Y6" s="4" t="s">
        <v>133</v>
      </c>
      <c r="Z6" s="4">
        <f>B6+D6+F6+H6+J6+L6+N6</f>
        <v>37850</v>
      </c>
      <c r="AA6" s="4">
        <f>3.3/2500</f>
        <v>0.00132</v>
      </c>
      <c r="AB6" s="24">
        <f>Z6*AA6</f>
        <v>49.961999999999996</v>
      </c>
      <c r="AD6" s="4">
        <v>7</v>
      </c>
      <c r="AF6" s="30"/>
      <c r="AL6" s="4" t="s">
        <v>136</v>
      </c>
      <c r="AM6" s="4">
        <f>COUNTA(R2:R49)</f>
        <v>23</v>
      </c>
    </row>
    <row r="7" spans="1:39" ht="14.25">
      <c r="A7" s="27">
        <v>42741</v>
      </c>
      <c r="B7" s="4">
        <f>1200+1800+3000</f>
        <v>6000</v>
      </c>
      <c r="C7" s="4">
        <f>B7*AA7</f>
        <v>7.92</v>
      </c>
      <c r="D7" s="4">
        <f>7100</f>
        <v>7100</v>
      </c>
      <c r="E7" s="4">
        <f>D7*AA7</f>
        <v>9.372</v>
      </c>
      <c r="F7" s="4">
        <f>7600</f>
        <v>7600</v>
      </c>
      <c r="G7" s="4">
        <f>F7*AA7</f>
        <v>10.032</v>
      </c>
      <c r="I7" s="4">
        <f>H7*AA7</f>
        <v>0</v>
      </c>
      <c r="K7" s="4">
        <f>J7*AA7</f>
        <v>0</v>
      </c>
      <c r="L7" s="4">
        <v>5000</v>
      </c>
      <c r="M7" s="4">
        <f>L7*AA7</f>
        <v>6.6</v>
      </c>
      <c r="O7" s="4">
        <f>N7*AA7</f>
        <v>0</v>
      </c>
      <c r="R7" s="4" t="s">
        <v>119</v>
      </c>
      <c r="Y7" s="4" t="s">
        <v>137</v>
      </c>
      <c r="Z7" s="4">
        <f>B7+D7+F7+H7+J7+L7+N7</f>
        <v>25700</v>
      </c>
      <c r="AA7" s="4">
        <f>3.3/2500</f>
        <v>0.00132</v>
      </c>
      <c r="AB7" s="24">
        <f>Z7*AA7</f>
        <v>33.924</v>
      </c>
      <c r="AD7" s="4">
        <v>7</v>
      </c>
      <c r="AI7" s="4" t="s">
        <v>138</v>
      </c>
      <c r="AL7" s="4" t="s">
        <v>109</v>
      </c>
      <c r="AM7" s="4">
        <f>COUNTA(S2:S49)</f>
        <v>0</v>
      </c>
    </row>
    <row r="8" spans="1:39" ht="14.25">
      <c r="A8" s="27">
        <v>42742</v>
      </c>
      <c r="B8" s="4">
        <f>500*2+2500*2+3500*2+100</f>
        <v>13100</v>
      </c>
      <c r="C8" s="4">
        <f>B8*AA8</f>
        <v>17.292</v>
      </c>
      <c r="D8" s="4">
        <f>5000</f>
        <v>5000</v>
      </c>
      <c r="E8" s="4">
        <f>D8*AA8</f>
        <v>6.6</v>
      </c>
      <c r="F8" s="4">
        <f>13800</f>
        <v>13800</v>
      </c>
      <c r="G8" s="4">
        <f>F8*AA8</f>
        <v>18.216</v>
      </c>
      <c r="I8" s="4">
        <f>H8*AA8</f>
        <v>0</v>
      </c>
      <c r="J8" s="4">
        <f>200+150</f>
        <v>350</v>
      </c>
      <c r="K8" s="4">
        <f>J8*AA8</f>
        <v>0.462</v>
      </c>
      <c r="L8" s="4">
        <v>10000</v>
      </c>
      <c r="M8" s="4">
        <f>L8*AA8</f>
        <v>13.2</v>
      </c>
      <c r="O8" s="4">
        <f>N8*AA8</f>
        <v>0</v>
      </c>
      <c r="R8" s="4" t="s">
        <v>119</v>
      </c>
      <c r="Y8" s="4" t="s">
        <v>139</v>
      </c>
      <c r="Z8" s="4">
        <f>B8+D8+F8+H8+J8+L8+N8</f>
        <v>42250</v>
      </c>
      <c r="AA8" s="4">
        <f>3.3/2500</f>
        <v>0.00132</v>
      </c>
      <c r="AB8" s="24">
        <f>Z8*AA8</f>
        <v>55.77</v>
      </c>
      <c r="AD8" s="4">
        <v>7</v>
      </c>
      <c r="AF8" s="4" t="s">
        <v>140</v>
      </c>
      <c r="AG8" s="26">
        <f>SUM(M2:M994)</f>
        <v>711.2142857142854</v>
      </c>
      <c r="AI8" s="4" t="s">
        <v>103</v>
      </c>
      <c r="AJ8" s="26">
        <f>AG8/$AG$5</f>
        <v>22.942396313364046</v>
      </c>
      <c r="AL8" s="4" t="s">
        <v>141</v>
      </c>
      <c r="AM8" s="4">
        <f>COUNTA(Q2:Q49)</f>
        <v>1</v>
      </c>
    </row>
    <row r="9" spans="1:39" ht="14.25">
      <c r="A9" s="27">
        <v>42743</v>
      </c>
      <c r="B9" s="5">
        <f>40000</f>
        <v>40000</v>
      </c>
      <c r="C9" s="4">
        <f>B9*AA9</f>
        <v>52.8</v>
      </c>
      <c r="D9" s="4">
        <f>5000+700+800+1600</f>
        <v>8100</v>
      </c>
      <c r="E9" s="4">
        <f>D9*AA9</f>
        <v>10.692</v>
      </c>
      <c r="G9" s="4">
        <f>F9*AA9</f>
        <v>0</v>
      </c>
      <c r="I9" s="4">
        <f>H9*AA9</f>
        <v>0</v>
      </c>
      <c r="K9" s="4">
        <f>J9*AA9</f>
        <v>0</v>
      </c>
      <c r="M9" s="4">
        <f>L9*AA9</f>
        <v>0</v>
      </c>
      <c r="O9" s="4">
        <f>N9*AA9</f>
        <v>0</v>
      </c>
      <c r="Y9" s="4" t="s">
        <v>142</v>
      </c>
      <c r="Z9" s="4">
        <f>B9+D9+F9+H9+J9+L9+N9</f>
        <v>48100</v>
      </c>
      <c r="AA9" s="4">
        <f>3.3/2500</f>
        <v>0.00132</v>
      </c>
      <c r="AB9" s="24">
        <f>Z9*AA9</f>
        <v>63.492</v>
      </c>
      <c r="AD9" s="4">
        <v>7</v>
      </c>
      <c r="AF9" s="4" t="s">
        <v>143</v>
      </c>
      <c r="AG9" s="26">
        <f>SUM(C2:C994)</f>
        <v>440.72800000000007</v>
      </c>
      <c r="AI9" s="4" t="s">
        <v>93</v>
      </c>
      <c r="AJ9" s="4">
        <f>AG9/$AG$5</f>
        <v>14.217032258064519</v>
      </c>
      <c r="AL9" s="4" t="s">
        <v>144</v>
      </c>
      <c r="AM9" s="4">
        <f>COUNTA(W2:W50)</f>
        <v>0</v>
      </c>
    </row>
    <row r="10" spans="1:39" ht="14.25">
      <c r="A10" s="27"/>
      <c r="C10" s="4">
        <f>B10*AA10</f>
        <v>0</v>
      </c>
      <c r="D10" s="4">
        <f>2600+400</f>
        <v>3000</v>
      </c>
      <c r="E10" s="4">
        <f>D10*AA10</f>
        <v>3.5000000000000004</v>
      </c>
      <c r="F10" s="4">
        <v>25000</v>
      </c>
      <c r="G10" s="4">
        <f>F10*AA10</f>
        <v>29.166666666666668</v>
      </c>
      <c r="I10" s="4">
        <f>H10*AA10</f>
        <v>0</v>
      </c>
      <c r="K10" s="4">
        <f>J10*AA10</f>
        <v>0</v>
      </c>
      <c r="L10" s="4">
        <v>10000</v>
      </c>
      <c r="M10" s="4">
        <f>L10*AA10</f>
        <v>11.666666666666668</v>
      </c>
      <c r="O10" s="4">
        <f>N10*AA10</f>
        <v>0</v>
      </c>
      <c r="R10" s="4" t="s">
        <v>119</v>
      </c>
      <c r="Z10" s="4">
        <f>B10+D10+F10+H10+J10+L10+N10</f>
        <v>38000</v>
      </c>
      <c r="AA10" s="4">
        <f>(700/600000)</f>
        <v>0.0011666666666666668</v>
      </c>
      <c r="AB10" s="24">
        <f>Z10*AA10</f>
        <v>44.333333333333336</v>
      </c>
      <c r="AD10" s="4">
        <v>6</v>
      </c>
      <c r="AF10" s="4" t="s">
        <v>145</v>
      </c>
      <c r="AG10" s="26">
        <f>SUM(E2:E994)</f>
        <v>570.6896171428572</v>
      </c>
      <c r="AI10" s="4" t="s">
        <v>146</v>
      </c>
      <c r="AJ10" s="4">
        <f>AG10/$AG$5</f>
        <v>18.409342488479265</v>
      </c>
      <c r="AL10" s="4" t="s">
        <v>147</v>
      </c>
      <c r="AM10" s="4">
        <f>COUNTA(V2:V51)</f>
        <v>0</v>
      </c>
    </row>
    <row r="11" spans="1:39" ht="14.25">
      <c r="A11" s="27" t="e">
        <f>"#n"/"a"</f>
        <v>#NAME?</v>
      </c>
      <c r="C11" s="4">
        <f>B11*AA11</f>
        <v>0</v>
      </c>
      <c r="D11" s="4">
        <f>15000+5000+2600</f>
        <v>22600</v>
      </c>
      <c r="E11" s="4">
        <f>D11*AA11</f>
        <v>26.366666666666667</v>
      </c>
      <c r="F11" s="4">
        <v>17000</v>
      </c>
      <c r="G11" s="4">
        <f>F11*AA11</f>
        <v>19.833333333333336</v>
      </c>
      <c r="I11" s="4">
        <f>H11*AA11</f>
        <v>0</v>
      </c>
      <c r="K11" s="4">
        <f>J11*AA11</f>
        <v>0</v>
      </c>
      <c r="L11" s="4">
        <v>35000</v>
      </c>
      <c r="M11" s="4">
        <f>L11*AA11</f>
        <v>40.833333333333336</v>
      </c>
      <c r="O11" s="4">
        <f>N11*AA11</f>
        <v>0</v>
      </c>
      <c r="R11" s="4" t="s">
        <v>119</v>
      </c>
      <c r="Y11" s="4" t="s">
        <v>148</v>
      </c>
      <c r="Z11" s="4">
        <f>B11+D11+F11+H11+J11+L11+N11</f>
        <v>74600</v>
      </c>
      <c r="AA11" s="4">
        <f>(700/600000)</f>
        <v>0.0011666666666666668</v>
      </c>
      <c r="AB11" s="24">
        <f>Z11*AA11</f>
        <v>87.03333333333335</v>
      </c>
      <c r="AD11" s="4">
        <v>6</v>
      </c>
      <c r="AF11" s="4" t="s">
        <v>149</v>
      </c>
      <c r="AG11" s="26">
        <f>SUM(G2:G994)</f>
        <v>467.035180952381</v>
      </c>
      <c r="AI11" s="4" t="s">
        <v>150</v>
      </c>
      <c r="AJ11" s="26">
        <f>AG11/$AG$5</f>
        <v>15.065650998463903</v>
      </c>
      <c r="AL11" s="4" t="s">
        <v>110</v>
      </c>
      <c r="AM11" s="4">
        <f>COUNTA(T2:T52)</f>
        <v>5</v>
      </c>
    </row>
    <row r="12" spans="1:36" ht="14.25">
      <c r="A12" s="27">
        <v>42745</v>
      </c>
      <c r="C12" s="4">
        <f>B12*AA12</f>
        <v>0</v>
      </c>
      <c r="D12" s="4">
        <f>12000+6200</f>
        <v>18200</v>
      </c>
      <c r="E12" s="4">
        <f>D12*AA12</f>
        <v>21.233333333333334</v>
      </c>
      <c r="F12" s="4">
        <v>17000</v>
      </c>
      <c r="G12" s="4">
        <f>F12*AA12</f>
        <v>19.833333333333336</v>
      </c>
      <c r="I12" s="4">
        <f>H12*AA12</f>
        <v>0</v>
      </c>
      <c r="K12" s="4">
        <f>J12*AA12</f>
        <v>0</v>
      </c>
      <c r="L12" s="4">
        <v>35000</v>
      </c>
      <c r="M12" s="4">
        <f>L12*AA12</f>
        <v>40.833333333333336</v>
      </c>
      <c r="O12" s="4">
        <f>N12*AA12</f>
        <v>0</v>
      </c>
      <c r="R12" s="4" t="s">
        <v>119</v>
      </c>
      <c r="Y12" s="4" t="s">
        <v>148</v>
      </c>
      <c r="Z12" s="4">
        <f>B12+D12+F12+H12+J12+L12+N12</f>
        <v>70200</v>
      </c>
      <c r="AA12" s="4">
        <f>(700/600000)</f>
        <v>0.0011666666666666668</v>
      </c>
      <c r="AB12" s="24">
        <f>Z12*AA12</f>
        <v>81.9</v>
      </c>
      <c r="AD12" s="4">
        <v>6</v>
      </c>
      <c r="AF12" s="4" t="s">
        <v>151</v>
      </c>
      <c r="AG12" s="26">
        <f>SUM(K2:K994)</f>
        <v>210.026</v>
      </c>
      <c r="AI12" s="4" t="s">
        <v>101</v>
      </c>
      <c r="AJ12" s="26">
        <f>AG12/$AG$5</f>
        <v>6.775032258064517</v>
      </c>
    </row>
    <row r="13" spans="1:36" ht="14.25">
      <c r="A13" s="27">
        <v>42746</v>
      </c>
      <c r="B13" s="5">
        <f>20000+40000</f>
        <v>60000</v>
      </c>
      <c r="C13" s="4">
        <f>B13*AA13</f>
        <v>70</v>
      </c>
      <c r="D13" s="4">
        <f>5600+4200</f>
        <v>9800</v>
      </c>
      <c r="E13" s="4">
        <f>D13*AA13</f>
        <v>11.433333333333334</v>
      </c>
      <c r="F13" s="4">
        <v>26000</v>
      </c>
      <c r="G13" s="4">
        <f>F13*AA13</f>
        <v>30.333333333333336</v>
      </c>
      <c r="I13" s="4">
        <f>H13*AA13</f>
        <v>0</v>
      </c>
      <c r="J13" s="4">
        <f>4000+2500</f>
        <v>6500</v>
      </c>
      <c r="K13" s="4">
        <f>J13*AA13</f>
        <v>7.583333333333334</v>
      </c>
      <c r="L13" s="4">
        <v>20000</v>
      </c>
      <c r="M13" s="4">
        <f>L13*AA13</f>
        <v>23.333333333333336</v>
      </c>
      <c r="O13" s="4">
        <f>N13*AA13</f>
        <v>0</v>
      </c>
      <c r="R13" s="4" t="s">
        <v>119</v>
      </c>
      <c r="Y13" s="4" t="s">
        <v>152</v>
      </c>
      <c r="Z13" s="4">
        <f>B13+D13+F13+H13+J13+L13+N13</f>
        <v>122300</v>
      </c>
      <c r="AA13" s="4">
        <f>(700/600000)</f>
        <v>0.0011666666666666668</v>
      </c>
      <c r="AB13" s="24">
        <f>Z13*AA13</f>
        <v>142.68333333333334</v>
      </c>
      <c r="AD13" s="4">
        <v>6</v>
      </c>
      <c r="AF13" s="4" t="s">
        <v>153</v>
      </c>
      <c r="AG13" s="4">
        <f>SUM(I2:I994)</f>
        <v>61.58666666666667</v>
      </c>
      <c r="AI13" s="4" t="s">
        <v>99</v>
      </c>
      <c r="AJ13" s="26">
        <f>AG13/$AG$5</f>
        <v>1.9866666666666668</v>
      </c>
    </row>
    <row r="14" spans="1:30" ht="14.25">
      <c r="A14" s="27">
        <v>42747</v>
      </c>
      <c r="B14" s="4">
        <f>40000+30000</f>
        <v>70000</v>
      </c>
      <c r="C14" s="4">
        <f>B14*AA14</f>
        <v>81.66666666666667</v>
      </c>
      <c r="D14" s="4">
        <f>3000+13600+1000</f>
        <v>17600</v>
      </c>
      <c r="E14" s="4">
        <f>D14*AA14</f>
        <v>20.533333333333335</v>
      </c>
      <c r="F14" s="4">
        <v>22000</v>
      </c>
      <c r="G14" s="4">
        <f>F14*AA14</f>
        <v>25.666666666666668</v>
      </c>
      <c r="I14" s="4">
        <f>H14*AA14</f>
        <v>0</v>
      </c>
      <c r="K14" s="4">
        <f>J14*AA14</f>
        <v>0</v>
      </c>
      <c r="L14" s="4">
        <v>40000</v>
      </c>
      <c r="M14" s="4">
        <f>L14*AA14</f>
        <v>46.66666666666667</v>
      </c>
      <c r="O14" s="4">
        <f>N14*AA14</f>
        <v>0</v>
      </c>
      <c r="R14" s="4" t="s">
        <v>119</v>
      </c>
      <c r="Y14" s="4" t="s">
        <v>154</v>
      </c>
      <c r="Z14" s="4">
        <f>B14+D14+F14+H14+J14+L14+N14</f>
        <v>149600</v>
      </c>
      <c r="AA14" s="4">
        <f>(700/600000)</f>
        <v>0.0011666666666666668</v>
      </c>
      <c r="AB14" s="24">
        <f>Z14*AA14</f>
        <v>174.53333333333336</v>
      </c>
      <c r="AD14" s="4">
        <v>6</v>
      </c>
    </row>
    <row r="15" spans="1:33" ht="14.25">
      <c r="A15" s="27">
        <v>42748</v>
      </c>
      <c r="C15" s="4">
        <f>B15*AA15</f>
        <v>0</v>
      </c>
      <c r="D15" s="4">
        <f>11600+1000</f>
        <v>12600</v>
      </c>
      <c r="E15" s="4">
        <f>D15*AA15</f>
        <v>14.700000000000001</v>
      </c>
      <c r="F15" s="4">
        <v>16000</v>
      </c>
      <c r="G15" s="4">
        <f>F15*AA15</f>
        <v>18.666666666666668</v>
      </c>
      <c r="I15" s="4">
        <f>H15*AA15</f>
        <v>0</v>
      </c>
      <c r="K15" s="4">
        <f>J15*AA15</f>
        <v>0</v>
      </c>
      <c r="L15" s="4">
        <v>40000</v>
      </c>
      <c r="M15" s="4">
        <f>L15*AA15</f>
        <v>46.66666666666667</v>
      </c>
      <c r="O15" s="4">
        <f>N15*AA15</f>
        <v>0</v>
      </c>
      <c r="R15" s="4" t="s">
        <v>119</v>
      </c>
      <c r="Y15" s="4" t="s">
        <v>155</v>
      </c>
      <c r="Z15" s="4">
        <f>B15+D15+F15+H15+J15+L15+N15</f>
        <v>68600</v>
      </c>
      <c r="AA15" s="4">
        <f>(700/600000)</f>
        <v>0.0011666666666666668</v>
      </c>
      <c r="AB15" s="24">
        <f>Z15*AA15</f>
        <v>80.03333333333335</v>
      </c>
      <c r="AD15" s="4">
        <v>6</v>
      </c>
      <c r="AF15" s="30"/>
      <c r="AG15" s="30"/>
    </row>
    <row r="16" spans="1:32" ht="14.25">
      <c r="A16" s="27">
        <v>42749</v>
      </c>
      <c r="B16" s="4">
        <f>12000*2</f>
        <v>24000</v>
      </c>
      <c r="C16" s="4">
        <f>B16*AA16</f>
        <v>28.000000000000004</v>
      </c>
      <c r="D16" s="4">
        <f>10900+3000+3000+1000+2000</f>
        <v>19900</v>
      </c>
      <c r="E16" s="4">
        <f>D16*AA16</f>
        <v>23.21666666666667</v>
      </c>
      <c r="G16" s="4">
        <f>F16*AA16</f>
        <v>0</v>
      </c>
      <c r="I16" s="4">
        <f>H16*AA16</f>
        <v>0</v>
      </c>
      <c r="J16" s="4">
        <v>3000</v>
      </c>
      <c r="K16" s="4">
        <f>J16*AA16</f>
        <v>3.5000000000000004</v>
      </c>
      <c r="L16" s="4">
        <v>14000</v>
      </c>
      <c r="M16" s="4">
        <f>L16*AA16</f>
        <v>16.333333333333336</v>
      </c>
      <c r="O16" s="4">
        <f>N16*AA16</f>
        <v>0</v>
      </c>
      <c r="P16" s="4" t="s">
        <v>119</v>
      </c>
      <c r="Y16" s="4" t="s">
        <v>156</v>
      </c>
      <c r="Z16" s="4">
        <f>B16+D16+F16+H16+J16+L16+N16</f>
        <v>60900</v>
      </c>
      <c r="AA16" s="4">
        <f>(700/600000)</f>
        <v>0.0011666666666666668</v>
      </c>
      <c r="AB16" s="24">
        <f>Z16*AA16</f>
        <v>71.05000000000001</v>
      </c>
      <c r="AD16" s="4">
        <v>6</v>
      </c>
      <c r="AF16" s="30"/>
    </row>
    <row r="17" spans="1:30" ht="14.25">
      <c r="A17" s="27">
        <v>42750</v>
      </c>
      <c r="C17" s="4">
        <f>B17*AA17</f>
        <v>0</v>
      </c>
      <c r="D17" s="4">
        <f>3000+5500+200+1000</f>
        <v>9700</v>
      </c>
      <c r="E17" s="4">
        <f>D17*AA17</f>
        <v>11.316666666666668</v>
      </c>
      <c r="G17" s="4">
        <f>F17*AA17</f>
        <v>0</v>
      </c>
      <c r="H17" s="4">
        <f>17000*2</f>
        <v>34000</v>
      </c>
      <c r="I17" s="4">
        <f>H17*AA17</f>
        <v>39.66666666666667</v>
      </c>
      <c r="K17" s="4">
        <f>J17*AA17</f>
        <v>0</v>
      </c>
      <c r="L17" s="4">
        <v>14000</v>
      </c>
      <c r="M17" s="4">
        <f>L17*AA17</f>
        <v>16.333333333333336</v>
      </c>
      <c r="O17" s="4">
        <f>N17*AA17</f>
        <v>0</v>
      </c>
      <c r="P17" s="4" t="s">
        <v>119</v>
      </c>
      <c r="Y17" s="4" t="s">
        <v>157</v>
      </c>
      <c r="Z17" s="4">
        <f>B17+D17+F17+H17+J17+L17+N17</f>
        <v>57700</v>
      </c>
      <c r="AA17" s="4">
        <f>(700/600000)</f>
        <v>0.0011666666666666668</v>
      </c>
      <c r="AB17" s="24">
        <f>Z17*AA17</f>
        <v>67.31666666666668</v>
      </c>
      <c r="AD17" s="4">
        <v>6</v>
      </c>
    </row>
    <row r="18" spans="1:30" ht="14.25">
      <c r="A18" s="27">
        <v>42751</v>
      </c>
      <c r="B18" s="4">
        <f>9000*2</f>
        <v>18000</v>
      </c>
      <c r="C18" s="4">
        <f>B18*AA18</f>
        <v>21</v>
      </c>
      <c r="D18" s="4">
        <f>9700+2000</f>
        <v>11700</v>
      </c>
      <c r="E18" s="4">
        <f>D18*AA18</f>
        <v>13.65</v>
      </c>
      <c r="F18" s="4">
        <v>14000</v>
      </c>
      <c r="G18" s="4">
        <f>F18*AA18</f>
        <v>16.333333333333336</v>
      </c>
      <c r="I18" s="4">
        <f>H18*AA18</f>
        <v>0</v>
      </c>
      <c r="K18" s="4">
        <f>J18*AA18</f>
        <v>0</v>
      </c>
      <c r="L18" s="4">
        <v>35000</v>
      </c>
      <c r="M18" s="4">
        <f>L18*AA18</f>
        <v>40.833333333333336</v>
      </c>
      <c r="O18" s="4">
        <f>N18*AA18</f>
        <v>0</v>
      </c>
      <c r="R18" s="4" t="s">
        <v>119</v>
      </c>
      <c r="Y18" s="4" t="s">
        <v>158</v>
      </c>
      <c r="Z18" s="4">
        <f>B18+D18+F18+H18+J18+L18+N18</f>
        <v>78700</v>
      </c>
      <c r="AA18" s="4">
        <f>(700/600000)</f>
        <v>0.0011666666666666668</v>
      </c>
      <c r="AB18" s="24">
        <f>Z18*AA18</f>
        <v>91.81666666666668</v>
      </c>
      <c r="AD18" s="4">
        <v>6</v>
      </c>
    </row>
    <row r="19" spans="1:30" ht="14.25">
      <c r="A19" s="27">
        <v>42752</v>
      </c>
      <c r="B19" s="4">
        <f>2800</f>
        <v>2800</v>
      </c>
      <c r="C19" s="4">
        <f>B19*AA19</f>
        <v>3.266666666666667</v>
      </c>
      <c r="D19" s="4">
        <f>4600</f>
        <v>4600</v>
      </c>
      <c r="E19" s="4">
        <f>D19*AA19</f>
        <v>5.366666666666667</v>
      </c>
      <c r="F19" s="4">
        <v>20000</v>
      </c>
      <c r="G19" s="4">
        <f>F19*AA19</f>
        <v>23.333333333333336</v>
      </c>
      <c r="I19" s="4">
        <f>H19*AA19</f>
        <v>0</v>
      </c>
      <c r="K19" s="4">
        <f>J19*AA19</f>
        <v>0</v>
      </c>
      <c r="M19" s="4">
        <f>L19*AA19</f>
        <v>0</v>
      </c>
      <c r="O19" s="4">
        <f>N19*AA19</f>
        <v>0</v>
      </c>
      <c r="R19" s="4" t="s">
        <v>119</v>
      </c>
      <c r="Y19" s="4" t="s">
        <v>159</v>
      </c>
      <c r="Z19" s="4">
        <f>B19+D19+F19+H19+J19+L19+N19</f>
        <v>27400</v>
      </c>
      <c r="AA19" s="4">
        <f>(700/600000)</f>
        <v>0.0011666666666666668</v>
      </c>
      <c r="AB19" s="24">
        <f>Z19*AA19</f>
        <v>31.96666666666667</v>
      </c>
      <c r="AD19" s="4">
        <v>6</v>
      </c>
    </row>
    <row r="20" spans="1:30" ht="14.25">
      <c r="A20" s="27">
        <v>42753</v>
      </c>
      <c r="C20" s="4">
        <f>B20*AA20</f>
        <v>0</v>
      </c>
      <c r="D20" s="4">
        <f>8800+8400+3800</f>
        <v>21000</v>
      </c>
      <c r="E20" s="4">
        <f>D20*AA20</f>
        <v>24.500000000000004</v>
      </c>
      <c r="G20" s="4">
        <f>F20*AA20</f>
        <v>0</v>
      </c>
      <c r="I20" s="4">
        <f>H20*AA20</f>
        <v>0</v>
      </c>
      <c r="K20" s="4">
        <f>J20*AA20</f>
        <v>0</v>
      </c>
      <c r="M20" s="4">
        <f>L20*AA20</f>
        <v>0</v>
      </c>
      <c r="O20" s="4">
        <f>N20*AA20</f>
        <v>0</v>
      </c>
      <c r="R20" s="4" t="s">
        <v>119</v>
      </c>
      <c r="Y20" s="4" t="s">
        <v>160</v>
      </c>
      <c r="Z20" s="4">
        <f>B20+D20+F20+H20+J20+L20+N20</f>
        <v>21000</v>
      </c>
      <c r="AA20" s="4">
        <f>(700/600000)</f>
        <v>0.0011666666666666668</v>
      </c>
      <c r="AB20" s="24">
        <f>Z20*AA20</f>
        <v>24.500000000000004</v>
      </c>
      <c r="AD20" s="4">
        <v>6</v>
      </c>
    </row>
    <row r="21" spans="1:30" ht="14.25">
      <c r="A21" s="27">
        <v>42754</v>
      </c>
      <c r="C21" s="4">
        <f>B21*AA21</f>
        <v>0</v>
      </c>
      <c r="D21" s="4">
        <f>8800+8800+3000</f>
        <v>20600</v>
      </c>
      <c r="E21" s="4">
        <f>D21*AA21</f>
        <v>24.033333333333335</v>
      </c>
      <c r="G21" s="4">
        <f>F21*AA21</f>
        <v>0</v>
      </c>
      <c r="I21" s="4">
        <f>H21*AA21</f>
        <v>0</v>
      </c>
      <c r="K21" s="4">
        <f>J21*AA21</f>
        <v>0</v>
      </c>
      <c r="L21" s="4">
        <v>40000</v>
      </c>
      <c r="M21" s="4">
        <f>L21*AA21</f>
        <v>46.66666666666667</v>
      </c>
      <c r="O21" s="4">
        <f>N21*AA21</f>
        <v>0</v>
      </c>
      <c r="R21" s="4" t="s">
        <v>119</v>
      </c>
      <c r="Y21" s="4" t="s">
        <v>160</v>
      </c>
      <c r="Z21" s="4">
        <f>B21+D21+F21+H21+J21+L21+N21</f>
        <v>60600</v>
      </c>
      <c r="AA21" s="4">
        <f>(700/600000)</f>
        <v>0.0011666666666666668</v>
      </c>
      <c r="AB21" s="24">
        <f>Z21*AA21</f>
        <v>70.7</v>
      </c>
      <c r="AD21" s="4">
        <v>6</v>
      </c>
    </row>
    <row r="22" spans="1:30" ht="14.25">
      <c r="A22" s="27">
        <v>42755</v>
      </c>
      <c r="B22" s="4">
        <f>1400*4</f>
        <v>5600</v>
      </c>
      <c r="C22" s="4">
        <f>B22*AA22</f>
        <v>6.533333333333334</v>
      </c>
      <c r="D22" s="4">
        <f>30600+300+3200</f>
        <v>34100</v>
      </c>
      <c r="E22" s="4">
        <f>D22*AA22</f>
        <v>39.78333333333334</v>
      </c>
      <c r="F22" s="4">
        <v>16000</v>
      </c>
      <c r="G22" s="4">
        <f>F22*AA22</f>
        <v>18.666666666666668</v>
      </c>
      <c r="I22" s="4">
        <f>H22*AA22</f>
        <v>0</v>
      </c>
      <c r="K22" s="4">
        <f>J22*AA22</f>
        <v>0</v>
      </c>
      <c r="L22" s="4">
        <v>40000</v>
      </c>
      <c r="M22" s="4">
        <f>L22*AA22</f>
        <v>46.66666666666667</v>
      </c>
      <c r="O22" s="4">
        <f>N22*AA22</f>
        <v>0</v>
      </c>
      <c r="R22" s="4" t="s">
        <v>119</v>
      </c>
      <c r="Y22" s="4" t="s">
        <v>160</v>
      </c>
      <c r="Z22" s="4">
        <f>B22+D22+F22+H22+J22+L22+N22</f>
        <v>95700</v>
      </c>
      <c r="AA22" s="4">
        <f>(700/600000)</f>
        <v>0.0011666666666666668</v>
      </c>
      <c r="AB22" s="24">
        <f>Z22*AA22</f>
        <v>111.65</v>
      </c>
      <c r="AD22" s="4">
        <v>6</v>
      </c>
    </row>
    <row r="23" spans="1:30" ht="14.25">
      <c r="A23" s="27">
        <v>42756</v>
      </c>
      <c r="C23" s="4">
        <f>B23*AA23</f>
        <v>0</v>
      </c>
      <c r="D23" s="4">
        <f>11400+7700</f>
        <v>19100</v>
      </c>
      <c r="E23" s="4">
        <f>D23*AA23</f>
        <v>22.283333333333335</v>
      </c>
      <c r="G23" s="4">
        <f>F23*AA23</f>
        <v>0</v>
      </c>
      <c r="I23" s="4">
        <f>H23*AA23</f>
        <v>0</v>
      </c>
      <c r="K23" s="4">
        <f>J23*AA23</f>
        <v>0</v>
      </c>
      <c r="L23" s="4">
        <v>40000</v>
      </c>
      <c r="M23" s="4">
        <f>L23*AA23</f>
        <v>46.66666666666667</v>
      </c>
      <c r="O23" s="4">
        <f>N23*AA23</f>
        <v>0</v>
      </c>
      <c r="R23" s="4" t="s">
        <v>119</v>
      </c>
      <c r="Y23" s="4" t="s">
        <v>160</v>
      </c>
      <c r="Z23" s="4">
        <f>B23+D23+F23+H23+J23+L23+N23</f>
        <v>59100</v>
      </c>
      <c r="AA23" s="4">
        <f>(700/600000)</f>
        <v>0.0011666666666666668</v>
      </c>
      <c r="AB23" s="24">
        <f>Z23*AA23</f>
        <v>68.95</v>
      </c>
      <c r="AD23" s="4">
        <v>6</v>
      </c>
    </row>
    <row r="24" spans="1:30" ht="14.25">
      <c r="A24" s="27">
        <v>42757</v>
      </c>
      <c r="B24" s="4">
        <f>25000*2+1500*2+2000*2</f>
        <v>57000</v>
      </c>
      <c r="C24" s="4">
        <f>B24*AA24</f>
        <v>66.5</v>
      </c>
      <c r="D24" s="4">
        <f>11900+2000+2600+1600</f>
        <v>18100</v>
      </c>
      <c r="E24" s="4">
        <f>D24*AA24</f>
        <v>21.116666666666667</v>
      </c>
      <c r="F24" s="4">
        <f>1500*5</f>
        <v>7500</v>
      </c>
      <c r="G24" s="4">
        <f>F24*AA24</f>
        <v>8.75</v>
      </c>
      <c r="I24" s="4">
        <f>H24*AA24</f>
        <v>0</v>
      </c>
      <c r="K24" s="4">
        <f>J24*AA24</f>
        <v>0</v>
      </c>
      <c r="L24" s="4">
        <v>30000</v>
      </c>
      <c r="M24" s="4">
        <f>L24*AA24</f>
        <v>35</v>
      </c>
      <c r="O24" s="4">
        <f>N24*AA24</f>
        <v>0</v>
      </c>
      <c r="R24" s="4" t="s">
        <v>119</v>
      </c>
      <c r="Y24" s="4" t="s">
        <v>161</v>
      </c>
      <c r="Z24" s="4">
        <f>B24+D24+F24+H24+J24+L24+N24</f>
        <v>112600</v>
      </c>
      <c r="AA24" s="4">
        <f>(700/600000)</f>
        <v>0.0011666666666666668</v>
      </c>
      <c r="AB24" s="24">
        <f>Z24*AA24</f>
        <v>131.36666666666667</v>
      </c>
      <c r="AD24" s="4">
        <v>6</v>
      </c>
    </row>
    <row r="25" spans="1:30" ht="14.25">
      <c r="A25" s="27">
        <v>42758</v>
      </c>
      <c r="C25" s="4">
        <f>B25*AA25</f>
        <v>0</v>
      </c>
      <c r="D25" s="4">
        <f>7000+1250+13700</f>
        <v>21950</v>
      </c>
      <c r="E25" s="4">
        <f>D25*AA25</f>
        <v>25.608333333333334</v>
      </c>
      <c r="F25" s="4">
        <v>16000</v>
      </c>
      <c r="G25" s="4">
        <f>F25*AA25</f>
        <v>18.666666666666668</v>
      </c>
      <c r="I25" s="4">
        <f>H25*AA25</f>
        <v>0</v>
      </c>
      <c r="K25" s="4">
        <f>J25*AA25</f>
        <v>0</v>
      </c>
      <c r="M25" s="4">
        <f>L25*AA25</f>
        <v>0</v>
      </c>
      <c r="O25" s="4">
        <f>N25*AA25</f>
        <v>0</v>
      </c>
      <c r="R25" s="4" t="s">
        <v>119</v>
      </c>
      <c r="Y25" s="4" t="s">
        <v>162</v>
      </c>
      <c r="Z25" s="4">
        <f>B25+D25+F25+H25+J25+L25+N25</f>
        <v>37950</v>
      </c>
      <c r="AA25" s="4">
        <f>(700/600000)</f>
        <v>0.0011666666666666668</v>
      </c>
      <c r="AB25" s="24">
        <f>Z25*AA25</f>
        <v>44.275000000000006</v>
      </c>
      <c r="AD25" s="4">
        <v>6</v>
      </c>
    </row>
    <row r="26" spans="1:30" ht="14.25">
      <c r="A26" s="27">
        <v>42759</v>
      </c>
      <c r="C26" s="4">
        <f>B26*AA26</f>
        <v>0</v>
      </c>
      <c r="D26" s="4">
        <f>21900</f>
        <v>21900</v>
      </c>
      <c r="E26" s="4">
        <f>D26*AA26</f>
        <v>25.55</v>
      </c>
      <c r="G26" s="4">
        <f>F26*AA26</f>
        <v>0</v>
      </c>
      <c r="H26" s="4">
        <f>4000*3</f>
        <v>12000</v>
      </c>
      <c r="I26" s="4">
        <f>H26*AA26</f>
        <v>14.000000000000002</v>
      </c>
      <c r="K26" s="4">
        <f>J26*AA26</f>
        <v>0</v>
      </c>
      <c r="M26" s="4">
        <f>L26*AA26</f>
        <v>0</v>
      </c>
      <c r="O26" s="4">
        <f>N26*AA26</f>
        <v>0</v>
      </c>
      <c r="R26" s="4" t="s">
        <v>119</v>
      </c>
      <c r="Y26" s="4" t="s">
        <v>162</v>
      </c>
      <c r="Z26" s="4">
        <f>B26+D26+F26+H26+J26+L26+N26</f>
        <v>33900</v>
      </c>
      <c r="AA26" s="4">
        <f>(700/600000)</f>
        <v>0.0011666666666666668</v>
      </c>
      <c r="AB26" s="24">
        <f>Z26*AA26</f>
        <v>39.550000000000004</v>
      </c>
      <c r="AD26" s="4">
        <v>6</v>
      </c>
    </row>
    <row r="27" spans="1:30" ht="14.25">
      <c r="A27" s="27">
        <v>42760</v>
      </c>
      <c r="C27" s="4">
        <f>B27*AA27</f>
        <v>0</v>
      </c>
      <c r="D27" s="4">
        <v>14900</v>
      </c>
      <c r="E27" s="4">
        <f>D27*AA27</f>
        <v>17.383333333333336</v>
      </c>
      <c r="G27" s="4">
        <f>F27*AA27</f>
        <v>0</v>
      </c>
      <c r="I27" s="4">
        <f>H27*AA27</f>
        <v>0</v>
      </c>
      <c r="K27" s="4">
        <f>J27*AA27</f>
        <v>0</v>
      </c>
      <c r="L27" s="4">
        <v>30000</v>
      </c>
      <c r="M27" s="4">
        <f>L27*AA27</f>
        <v>35</v>
      </c>
      <c r="O27" s="4">
        <f>N27*AA27</f>
        <v>0</v>
      </c>
      <c r="R27" s="4" t="s">
        <v>119</v>
      </c>
      <c r="Y27" s="4" t="s">
        <v>162</v>
      </c>
      <c r="Z27" s="4">
        <f>B27+D27+F27+H27+J27+L27+N27</f>
        <v>44900</v>
      </c>
      <c r="AA27" s="4">
        <f>(700/600000)</f>
        <v>0.0011666666666666668</v>
      </c>
      <c r="AB27" s="24">
        <f>Z27*AA27</f>
        <v>52.38333333333334</v>
      </c>
      <c r="AD27" s="4">
        <v>6</v>
      </c>
    </row>
    <row r="28" spans="1:30" ht="14.25">
      <c r="A28" s="27">
        <v>42761</v>
      </c>
      <c r="B28" s="4">
        <v>13000</v>
      </c>
      <c r="C28" s="4">
        <f>B28*AA28</f>
        <v>15.166666666666668</v>
      </c>
      <c r="D28" s="4">
        <f>15000+3800+14000</f>
        <v>32800</v>
      </c>
      <c r="E28" s="4">
        <f>D28*AA28</f>
        <v>38.26666666666667</v>
      </c>
      <c r="G28" s="4">
        <f>F28*AA28</f>
        <v>0</v>
      </c>
      <c r="I28" s="4">
        <f>H28*AA28</f>
        <v>0</v>
      </c>
      <c r="J28" s="4">
        <f>90000+15000</f>
        <v>105000</v>
      </c>
      <c r="K28" s="4">
        <f>J28*AA28</f>
        <v>122.50000000000001</v>
      </c>
      <c r="L28" s="4">
        <v>10000</v>
      </c>
      <c r="M28" s="4">
        <f>L28*AA28</f>
        <v>11.666666666666668</v>
      </c>
      <c r="O28" s="4">
        <f>N28*AA28</f>
        <v>0</v>
      </c>
      <c r="T28" s="4" t="s">
        <v>119</v>
      </c>
      <c r="Y28" s="4" t="s">
        <v>162</v>
      </c>
      <c r="Z28" s="4">
        <f>B28+D28+F28+H28+J28+L28+N28</f>
        <v>160800</v>
      </c>
      <c r="AA28" s="4">
        <f>(700/600000)</f>
        <v>0.0011666666666666668</v>
      </c>
      <c r="AB28" s="24">
        <f>Z28*AA28</f>
        <v>187.60000000000002</v>
      </c>
      <c r="AD28" s="4">
        <v>6</v>
      </c>
    </row>
    <row r="29" spans="1:30" ht="14.25">
      <c r="A29" s="27">
        <v>42762</v>
      </c>
      <c r="B29" s="4">
        <f>2000*8</f>
        <v>16000</v>
      </c>
      <c r="C29" s="4">
        <f>B29*AA29</f>
        <v>18.666666666666668</v>
      </c>
      <c r="D29" s="4">
        <f>22100+1300</f>
        <v>23400</v>
      </c>
      <c r="E29" s="4">
        <f>D29*AA29</f>
        <v>27.3</v>
      </c>
      <c r="F29" s="4">
        <v>58000</v>
      </c>
      <c r="G29" s="4">
        <f>F29*AA29</f>
        <v>67.66666666666667</v>
      </c>
      <c r="I29" s="4">
        <f>H29*AA29</f>
        <v>0</v>
      </c>
      <c r="K29" s="4">
        <f>J29*AA29</f>
        <v>0</v>
      </c>
      <c r="L29" s="4">
        <v>10000</v>
      </c>
      <c r="M29" s="4">
        <f>L29*AA29</f>
        <v>11.666666666666668</v>
      </c>
      <c r="O29" s="4">
        <f>N29*AA29</f>
        <v>0</v>
      </c>
      <c r="T29" s="4" t="s">
        <v>119</v>
      </c>
      <c r="Y29" s="4" t="s">
        <v>162</v>
      </c>
      <c r="Z29" s="4">
        <f>B29+D29+F29+H29+J29+L29+N29</f>
        <v>107400</v>
      </c>
      <c r="AA29" s="4">
        <f>(700/600000)</f>
        <v>0.0011666666666666668</v>
      </c>
      <c r="AB29" s="24">
        <f>Z29*AA29</f>
        <v>125.30000000000001</v>
      </c>
      <c r="AD29" s="4">
        <v>6</v>
      </c>
    </row>
    <row r="30" spans="1:30" ht="14.25">
      <c r="A30" s="27">
        <v>42763</v>
      </c>
      <c r="C30" s="4">
        <f>B30*AA30</f>
        <v>0</v>
      </c>
      <c r="D30" s="4">
        <f>11500+6500+5300+1500+1500+2800+200</f>
        <v>29300</v>
      </c>
      <c r="E30" s="4">
        <f>D30*AA30</f>
        <v>34.18333333333334</v>
      </c>
      <c r="G30" s="4">
        <f>F30*AA30</f>
        <v>0</v>
      </c>
      <c r="I30" s="4">
        <f>H30*AA30</f>
        <v>0</v>
      </c>
      <c r="J30" s="4">
        <f>45000</f>
        <v>45000</v>
      </c>
      <c r="K30" s="4">
        <f>J30*AA30</f>
        <v>52.50000000000001</v>
      </c>
      <c r="L30" s="4">
        <v>10000</v>
      </c>
      <c r="M30" s="4">
        <f>L30*AA30</f>
        <v>11.666666666666668</v>
      </c>
      <c r="O30" s="4">
        <f>N30*AA30</f>
        <v>0</v>
      </c>
      <c r="T30" s="4" t="s">
        <v>119</v>
      </c>
      <c r="Y30" s="4" t="s">
        <v>162</v>
      </c>
      <c r="Z30" s="4">
        <f>B30+D30+F30+H30+J30+L30+N30</f>
        <v>84300</v>
      </c>
      <c r="AA30" s="4">
        <f>(700/600000)</f>
        <v>0.0011666666666666668</v>
      </c>
      <c r="AB30" s="24">
        <f>Z30*AA30</f>
        <v>98.35000000000001</v>
      </c>
      <c r="AD30" s="4">
        <v>6</v>
      </c>
    </row>
    <row r="31" spans="1:30" ht="14.25">
      <c r="A31" s="27">
        <v>42764</v>
      </c>
      <c r="C31" s="4">
        <f>B31*AA31</f>
        <v>0</v>
      </c>
      <c r="D31" s="4">
        <f>15000+8000</f>
        <v>23000</v>
      </c>
      <c r="E31" s="4">
        <f>D31*AA31</f>
        <v>26.833333333333336</v>
      </c>
      <c r="G31" s="4">
        <f>F31*AA31</f>
        <v>0</v>
      </c>
      <c r="I31" s="4">
        <f>H31*AA31</f>
        <v>0</v>
      </c>
      <c r="K31" s="4">
        <f>J31*AA31</f>
        <v>0</v>
      </c>
      <c r="L31" s="4">
        <v>10000</v>
      </c>
      <c r="M31" s="4">
        <f>L31*AA31</f>
        <v>11.666666666666668</v>
      </c>
      <c r="O31" s="4">
        <f>N31*AA31</f>
        <v>0</v>
      </c>
      <c r="T31" s="4" t="s">
        <v>119</v>
      </c>
      <c r="Y31" s="4" t="s">
        <v>162</v>
      </c>
      <c r="Z31" s="4">
        <f>B31+D31+F31+H31+J31+L31+N31</f>
        <v>33000</v>
      </c>
      <c r="AA31" s="4">
        <f>(700/600000)</f>
        <v>0.0011666666666666668</v>
      </c>
      <c r="AB31" s="24">
        <f>Z31*AA31</f>
        <v>38.5</v>
      </c>
      <c r="AD31" s="4">
        <v>6</v>
      </c>
    </row>
    <row r="32" spans="1:30" ht="14.25">
      <c r="A32" s="27">
        <v>42765</v>
      </c>
      <c r="B32" s="4">
        <f>8000</f>
        <v>8000</v>
      </c>
      <c r="C32" s="4">
        <f>B32*AA32</f>
        <v>9.333333333333334</v>
      </c>
      <c r="D32" s="4">
        <f>5000+2000</f>
        <v>7000</v>
      </c>
      <c r="E32" s="4">
        <f>D32*AA32</f>
        <v>8.166666666666668</v>
      </c>
      <c r="F32" s="4">
        <f>18000</f>
        <v>18000</v>
      </c>
      <c r="G32" s="4">
        <f>F32*AA32</f>
        <v>21</v>
      </c>
      <c r="I32" s="4">
        <f>H32*AA32</f>
        <v>0</v>
      </c>
      <c r="J32" s="4">
        <v>10000</v>
      </c>
      <c r="K32" s="4">
        <f>J32*AA32</f>
        <v>11.666666666666668</v>
      </c>
      <c r="L32" s="4">
        <v>10000</v>
      </c>
      <c r="M32" s="4">
        <f>L32*AA32</f>
        <v>11.666666666666668</v>
      </c>
      <c r="O32" s="4">
        <f>N32*AA32</f>
        <v>0</v>
      </c>
      <c r="T32" s="4" t="s">
        <v>119</v>
      </c>
      <c r="Y32" s="4" t="s">
        <v>162</v>
      </c>
      <c r="Z32" s="4">
        <f>B32+D32+F32+H32+J32+L32+N32</f>
        <v>53000</v>
      </c>
      <c r="AA32" s="4">
        <f>(700/600000)</f>
        <v>0.0011666666666666668</v>
      </c>
      <c r="AB32" s="24">
        <f>Z32*AA32</f>
        <v>61.833333333333336</v>
      </c>
      <c r="AD32" s="4">
        <v>6</v>
      </c>
    </row>
    <row r="33" spans="1:30" ht="14.25">
      <c r="A33" s="25">
        <v>42766</v>
      </c>
      <c r="B33" s="4">
        <f>8000+4200+20000</f>
        <v>32200</v>
      </c>
      <c r="C33" s="4">
        <f>B33*AA33</f>
        <v>37.56666666666667</v>
      </c>
      <c r="D33" s="4">
        <f>9000+1500</f>
        <v>10500</v>
      </c>
      <c r="E33" s="4">
        <f>D33*AA33</f>
        <v>12.250000000000002</v>
      </c>
      <c r="G33" s="4">
        <f>F33*AA33</f>
        <v>0</v>
      </c>
      <c r="I33" s="4">
        <f>H33*AA33</f>
        <v>0</v>
      </c>
      <c r="K33" s="4">
        <f>J33*AA33</f>
        <v>0</v>
      </c>
      <c r="L33" s="4">
        <v>10000</v>
      </c>
      <c r="M33" s="4">
        <f>L33*AA33</f>
        <v>11.666666666666668</v>
      </c>
      <c r="O33" s="4">
        <f>N33*AA33</f>
        <v>0</v>
      </c>
      <c r="Q33" s="4" t="s">
        <v>119</v>
      </c>
      <c r="Y33" s="4" t="s">
        <v>162</v>
      </c>
      <c r="Z33" s="4">
        <f>B33+D33+F33+H33+J33+L33+N33</f>
        <v>52700</v>
      </c>
      <c r="AA33" s="4">
        <f>(700/600000)</f>
        <v>0.0011666666666666668</v>
      </c>
      <c r="AB33" s="24">
        <f>Z33*AA33</f>
        <v>61.48333333333334</v>
      </c>
      <c r="AD33" s="4">
        <v>6</v>
      </c>
    </row>
    <row r="34" spans="3:28" ht="12.75">
      <c r="C34" s="4">
        <f>B34*AA34</f>
        <v>0</v>
      </c>
      <c r="E34" s="4">
        <f>D34*AA34</f>
        <v>0</v>
      </c>
      <c r="G34" s="4">
        <f>F34*AA34</f>
        <v>0</v>
      </c>
      <c r="I34" s="4">
        <f>H34*AA34</f>
        <v>0</v>
      </c>
      <c r="K34" s="4">
        <f>J34*AA34</f>
        <v>0</v>
      </c>
      <c r="M34" s="4">
        <f>L34*AA34</f>
        <v>0</v>
      </c>
      <c r="O34" s="4">
        <f>N34*AA34</f>
        <v>0</v>
      </c>
      <c r="Z34" s="4">
        <f>B34+D34+F34+H34+J34+L34+N34</f>
        <v>0</v>
      </c>
      <c r="AA34" s="4">
        <f>3.3/4200</f>
        <v>0.0007857142857142856</v>
      </c>
      <c r="AB34" s="24">
        <f>Z34*AA34</f>
        <v>0</v>
      </c>
    </row>
    <row r="35" spans="3:28" ht="12.75">
      <c r="C35" s="4">
        <f>B35*AA35</f>
        <v>0</v>
      </c>
      <c r="E35" s="4">
        <f>D35*AA35</f>
        <v>0</v>
      </c>
      <c r="G35" s="4">
        <f>F35*AA35</f>
        <v>0</v>
      </c>
      <c r="I35" s="4">
        <f>H35*AA35</f>
        <v>0</v>
      </c>
      <c r="K35" s="4">
        <f>J35*AA35</f>
        <v>0</v>
      </c>
      <c r="M35" s="4">
        <f>L35*AA35</f>
        <v>0</v>
      </c>
      <c r="O35" s="4">
        <f>N35*AA35</f>
        <v>0</v>
      </c>
      <c r="Z35" s="4">
        <f>B35+D35+F35+H35+J35+L35+N35</f>
        <v>0</v>
      </c>
      <c r="AA35" s="4">
        <f>441.25/400000</f>
        <v>0.001103125</v>
      </c>
      <c r="AB35" s="24">
        <f>Z35*AA35</f>
        <v>0</v>
      </c>
    </row>
    <row r="36" spans="3:28" ht="12.75">
      <c r="C36" s="4">
        <f>B36*AA36</f>
        <v>0</v>
      </c>
      <c r="E36" s="4">
        <f>D36*AA36</f>
        <v>0</v>
      </c>
      <c r="G36" s="4">
        <f>F36*AA36</f>
        <v>0</v>
      </c>
      <c r="I36" s="4">
        <f>H36*AA36</f>
        <v>0</v>
      </c>
      <c r="K36" s="4">
        <f>J36*AA36</f>
        <v>0</v>
      </c>
      <c r="M36" s="4">
        <f>L36*AA36</f>
        <v>0</v>
      </c>
      <c r="O36" s="4">
        <f>N36*AA36</f>
        <v>0</v>
      </c>
      <c r="Z36" s="4">
        <f>B36+D36+F36+H36+J36+L36+N36</f>
        <v>0</v>
      </c>
      <c r="AA36" s="4">
        <v>0.0058889</v>
      </c>
      <c r="AB36" s="24">
        <f>Z36*AA36</f>
        <v>0</v>
      </c>
    </row>
    <row r="37" spans="3:28" ht="12.75">
      <c r="C37" s="4">
        <f>B37*AA37</f>
        <v>0</v>
      </c>
      <c r="E37" s="4">
        <f>D37*AA37</f>
        <v>0</v>
      </c>
      <c r="G37" s="4">
        <f>F37*AA37</f>
        <v>0</v>
      </c>
      <c r="I37" s="4">
        <f>H37*AA37</f>
        <v>0</v>
      </c>
      <c r="K37" s="4">
        <f>J37*AA37</f>
        <v>0</v>
      </c>
      <c r="M37" s="4">
        <f>L37*AA37</f>
        <v>0</v>
      </c>
      <c r="O37" s="4">
        <f>N37*AA37</f>
        <v>0</v>
      </c>
      <c r="Z37" s="4">
        <f>B37+D37+F37+H37+J37+L37+N37</f>
        <v>0</v>
      </c>
      <c r="AA37" s="4">
        <v>0.0058889</v>
      </c>
      <c r="AB37" s="24">
        <f>Z37*AA37</f>
        <v>0</v>
      </c>
    </row>
    <row r="38" spans="3:28" ht="12.75">
      <c r="C38" s="4">
        <f>B38*AA38</f>
        <v>0</v>
      </c>
      <c r="E38" s="4">
        <f>D38*AA38</f>
        <v>0</v>
      </c>
      <c r="G38" s="4">
        <f>F38*AA38</f>
        <v>0</v>
      </c>
      <c r="I38" s="4">
        <f>H38*AA38</f>
        <v>0</v>
      </c>
      <c r="K38" s="4">
        <f>J38*AA38</f>
        <v>0</v>
      </c>
      <c r="M38" s="4">
        <f>L38*AA38</f>
        <v>0</v>
      </c>
      <c r="O38" s="4">
        <f>N38*AA38</f>
        <v>0</v>
      </c>
      <c r="Z38" s="4">
        <f>B38+D38+F38+H38+J38+L38+N38</f>
        <v>0</v>
      </c>
      <c r="AA38" s="4">
        <v>0.0058889</v>
      </c>
      <c r="AB38" s="24">
        <f>Z38*AA38</f>
        <v>0</v>
      </c>
    </row>
    <row r="39" spans="3:28" ht="12.75">
      <c r="C39" s="4">
        <f>B39*AA39</f>
        <v>0</v>
      </c>
      <c r="E39" s="4">
        <f>D39*AA39</f>
        <v>0</v>
      </c>
      <c r="G39" s="4">
        <f>F39*AA39</f>
        <v>0</v>
      </c>
      <c r="I39" s="4">
        <f>H39*AA39</f>
        <v>0</v>
      </c>
      <c r="K39" s="4">
        <f>J39*AA39</f>
        <v>0</v>
      </c>
      <c r="M39" s="4">
        <f>L39*AA39</f>
        <v>0</v>
      </c>
      <c r="O39" s="4">
        <f>N39*AA39</f>
        <v>0</v>
      </c>
      <c r="Z39" s="4">
        <f>B39+D39+F39+H39+J39+L39+N39</f>
        <v>0</v>
      </c>
      <c r="AA39" s="4">
        <v>0.0058889</v>
      </c>
      <c r="AB39" s="24">
        <f>Z39*AA39</f>
        <v>0</v>
      </c>
    </row>
    <row r="40" spans="3:28" ht="12.75">
      <c r="C40" s="4">
        <f>B40*AA40</f>
        <v>0</v>
      </c>
      <c r="E40" s="4">
        <f>D40*AA40</f>
        <v>0</v>
      </c>
      <c r="G40" s="4">
        <f>F40*AA40</f>
        <v>0</v>
      </c>
      <c r="I40" s="4">
        <f>H40*AA40</f>
        <v>0</v>
      </c>
      <c r="K40" s="4">
        <f>J40*AA40</f>
        <v>0</v>
      </c>
      <c r="M40" s="4">
        <f>L40*AA40</f>
        <v>0</v>
      </c>
      <c r="O40" s="4">
        <f>N40*AA40</f>
        <v>0</v>
      </c>
      <c r="Z40" s="4">
        <f>B40+D40+F40+H40+J40+L40+N40</f>
        <v>0</v>
      </c>
      <c r="AA40" s="4">
        <v>0.0058889</v>
      </c>
      <c r="AB40" s="24">
        <f>Z40*AA40</f>
        <v>0</v>
      </c>
    </row>
    <row r="41" spans="3:28" ht="12.75">
      <c r="C41" s="4">
        <f>B41*AA41</f>
        <v>0</v>
      </c>
      <c r="E41" s="4">
        <f>D41*AA41</f>
        <v>0</v>
      </c>
      <c r="G41" s="4">
        <f>F41*AA41</f>
        <v>0</v>
      </c>
      <c r="I41" s="4">
        <f>H41*AA41</f>
        <v>0</v>
      </c>
      <c r="K41" s="4">
        <f>J41*AA41</f>
        <v>0</v>
      </c>
      <c r="M41" s="4">
        <f>L41*AA41</f>
        <v>0</v>
      </c>
      <c r="O41" s="4">
        <f>N41*AA41</f>
        <v>0</v>
      </c>
      <c r="Z41" s="4">
        <f>B41+D41+F41+H41+J41+L41+N41</f>
        <v>0</v>
      </c>
      <c r="AA41" s="4">
        <v>0.0058889</v>
      </c>
      <c r="AB41" s="24">
        <f>Z41*AA41</f>
        <v>0</v>
      </c>
    </row>
    <row r="42" spans="3:28" ht="12.75">
      <c r="C42" s="4">
        <f>B42*AA42</f>
        <v>0</v>
      </c>
      <c r="E42" s="4">
        <f>D42*AA42</f>
        <v>0</v>
      </c>
      <c r="G42" s="4">
        <f>F42*AA42</f>
        <v>0</v>
      </c>
      <c r="I42" s="4">
        <f>H42*AA42</f>
        <v>0</v>
      </c>
      <c r="K42" s="4">
        <f>J42*AA42</f>
        <v>0</v>
      </c>
      <c r="M42" s="4">
        <f>L42*AA42</f>
        <v>0</v>
      </c>
      <c r="O42" s="4">
        <f>N42*AA42</f>
        <v>0</v>
      </c>
      <c r="Z42" s="4">
        <f>B42+D42+F42+H42+J42+L42+N42</f>
        <v>0</v>
      </c>
      <c r="AA42" s="4">
        <v>0.0058889</v>
      </c>
      <c r="AB42" s="24">
        <f>Z42*AA42</f>
        <v>0</v>
      </c>
    </row>
    <row r="43" spans="3:28" ht="12.75">
      <c r="C43" s="4">
        <f>B43*AA43</f>
        <v>0</v>
      </c>
      <c r="E43" s="4">
        <f>D43*AA43</f>
        <v>0</v>
      </c>
      <c r="G43" s="4">
        <f>F43*AA43</f>
        <v>0</v>
      </c>
      <c r="I43" s="4">
        <f>H43*AA43</f>
        <v>0</v>
      </c>
      <c r="K43" s="4">
        <f>J43*AA43</f>
        <v>0</v>
      </c>
      <c r="M43" s="4">
        <f>L43*AA43</f>
        <v>0</v>
      </c>
      <c r="O43" s="4">
        <f>N43*AA43</f>
        <v>0</v>
      </c>
      <c r="Z43" s="4">
        <f>B43+D43+F43+H43+J43+L43+N43</f>
        <v>0</v>
      </c>
      <c r="AA43" s="4">
        <v>0.0058889</v>
      </c>
      <c r="AB43" s="24">
        <f>Z43*AA43</f>
        <v>0</v>
      </c>
    </row>
    <row r="44" spans="3:28" ht="12.75">
      <c r="C44" s="4">
        <f>B44*AA44</f>
        <v>0</v>
      </c>
      <c r="E44" s="4">
        <f>D44*AA44</f>
        <v>0</v>
      </c>
      <c r="G44" s="4">
        <f>F44*AA44</f>
        <v>0</v>
      </c>
      <c r="I44" s="4">
        <f>H44*AA44</f>
        <v>0</v>
      </c>
      <c r="K44" s="4">
        <f>J44*AA44</f>
        <v>0</v>
      </c>
      <c r="M44" s="4">
        <f>L44*AA44</f>
        <v>0</v>
      </c>
      <c r="O44" s="4">
        <f>N44*AA44</f>
        <v>0</v>
      </c>
      <c r="Z44" s="4">
        <f>B44+D44+F44+H44+J44+L44+N44</f>
        <v>0</v>
      </c>
      <c r="AA44" s="4">
        <v>0.29</v>
      </c>
      <c r="AB44" s="24">
        <f>Z44*AA44</f>
        <v>0</v>
      </c>
    </row>
    <row r="45" spans="3:28" ht="12.75">
      <c r="C45" s="4">
        <f>B45*AA45</f>
        <v>0</v>
      </c>
      <c r="E45" s="4">
        <f>D45*AA45</f>
        <v>0</v>
      </c>
      <c r="G45" s="4">
        <f>F45*AA45</f>
        <v>0</v>
      </c>
      <c r="I45" s="4">
        <f>H45*AA45</f>
        <v>0</v>
      </c>
      <c r="K45" s="4">
        <f>J45*AA45</f>
        <v>0</v>
      </c>
      <c r="M45" s="4">
        <f>L45*AA45</f>
        <v>0</v>
      </c>
      <c r="O45" s="4">
        <f>N45*AA45</f>
        <v>0</v>
      </c>
      <c r="Z45" s="4">
        <f>B45+D45+F45+H45+J45+L45+N45</f>
        <v>0</v>
      </c>
      <c r="AA45" s="4">
        <v>0.29</v>
      </c>
      <c r="AB45" s="24">
        <f>Z45*AA45</f>
        <v>0</v>
      </c>
    </row>
    <row r="46" spans="3:28" ht="12.75">
      <c r="C46" s="4">
        <f>B46*AA46</f>
        <v>0</v>
      </c>
      <c r="E46" s="4">
        <f>D46*AA46</f>
        <v>0</v>
      </c>
      <c r="G46" s="4">
        <f>F46*AA46</f>
        <v>0</v>
      </c>
      <c r="I46" s="4">
        <f>H46*AA46</f>
        <v>0</v>
      </c>
      <c r="K46" s="4">
        <f>J46*AA46</f>
        <v>0</v>
      </c>
      <c r="M46" s="4">
        <f>L46*AA46</f>
        <v>0</v>
      </c>
      <c r="O46" s="4">
        <f>N46*AA46</f>
        <v>0</v>
      </c>
      <c r="Z46" s="4">
        <f>B46+D46+F46+H46+J46+L46+N46</f>
        <v>0</v>
      </c>
      <c r="AA46" s="4">
        <v>0.0061</v>
      </c>
      <c r="AB46" s="24">
        <f>Z46*AA46</f>
        <v>0</v>
      </c>
    </row>
    <row r="47" spans="3:28" ht="12.75">
      <c r="C47" s="4">
        <f>B47*AA47</f>
        <v>0</v>
      </c>
      <c r="E47" s="4">
        <f>D47*AA47</f>
        <v>0</v>
      </c>
      <c r="G47" s="4">
        <f>F47*AA47</f>
        <v>0</v>
      </c>
      <c r="I47" s="4">
        <f>H47*AA47</f>
        <v>0</v>
      </c>
      <c r="K47" s="4">
        <f>J47*AA47</f>
        <v>0</v>
      </c>
      <c r="M47" s="4">
        <f>L47*AA47</f>
        <v>0</v>
      </c>
      <c r="O47" s="4">
        <f>N47*AA47</f>
        <v>0</v>
      </c>
      <c r="Z47" s="4">
        <f>B47+D47+F47+H47+J47+L47+N47</f>
        <v>0</v>
      </c>
      <c r="AA47" s="4">
        <v>0.0061</v>
      </c>
      <c r="AB47" s="24">
        <f>Z47*AA47</f>
        <v>0</v>
      </c>
    </row>
    <row r="48" spans="3:28" ht="12.75">
      <c r="C48" s="4">
        <f>B48*AA48</f>
        <v>0</v>
      </c>
      <c r="E48" s="4">
        <f>D48*AA48</f>
        <v>0</v>
      </c>
      <c r="G48" s="4">
        <f>F48*AA48</f>
        <v>0</v>
      </c>
      <c r="I48" s="4">
        <f>H48*AA48</f>
        <v>0</v>
      </c>
      <c r="K48" s="4">
        <f>J48*AA48</f>
        <v>0</v>
      </c>
      <c r="M48" s="4">
        <f>L48*AA48</f>
        <v>0</v>
      </c>
      <c r="O48" s="4">
        <f>N48*AA48</f>
        <v>0</v>
      </c>
      <c r="Z48" s="4">
        <f>B48+D48+F48+H48+J48+L48+N48</f>
        <v>0</v>
      </c>
      <c r="AA48" s="4">
        <v>0.0061</v>
      </c>
      <c r="AB48" s="24">
        <f>Z48*AA48</f>
        <v>0</v>
      </c>
    </row>
    <row r="49" spans="3:28" ht="12.75">
      <c r="C49" s="4">
        <f>B49*AA49</f>
        <v>0</v>
      </c>
      <c r="E49" s="4">
        <f>D49*AA49</f>
        <v>0</v>
      </c>
      <c r="G49" s="4">
        <f>F49*AA49</f>
        <v>0</v>
      </c>
      <c r="I49" s="4">
        <f>H49*AA49</f>
        <v>0</v>
      </c>
      <c r="K49" s="4">
        <f>J49*AA49</f>
        <v>0</v>
      </c>
      <c r="M49" s="4">
        <f>L49*AA49</f>
        <v>0</v>
      </c>
      <c r="O49" s="4">
        <f>N49*AA49</f>
        <v>0</v>
      </c>
      <c r="Z49" s="4">
        <f>B49+D49+F49+H49+J49+L49+N49</f>
        <v>0</v>
      </c>
      <c r="AA49" s="4">
        <v>0.0061</v>
      </c>
      <c r="AB49" s="24">
        <f>Z49*AA49</f>
        <v>0</v>
      </c>
    </row>
    <row r="50" spans="3:28" ht="12.75">
      <c r="C50" s="4">
        <f>B50*AA50</f>
        <v>0</v>
      </c>
      <c r="E50" s="4">
        <f>D50*AA50</f>
        <v>0</v>
      </c>
      <c r="G50" s="4">
        <f>F50*AA50</f>
        <v>0</v>
      </c>
      <c r="I50" s="4">
        <f>H50*AA50</f>
        <v>0</v>
      </c>
      <c r="K50" s="4">
        <f>J50*AA50</f>
        <v>0</v>
      </c>
      <c r="M50" s="4">
        <f>L50*AA50</f>
        <v>0</v>
      </c>
      <c r="O50" s="4">
        <f>N50*AA50</f>
        <v>0</v>
      </c>
      <c r="Z50" s="4">
        <f>B50+D50+F50+H50+J50+L50+N50</f>
        <v>0</v>
      </c>
      <c r="AA50" s="4">
        <v>0.005925</v>
      </c>
      <c r="AB50" s="24">
        <f>Z50*AA50</f>
        <v>0</v>
      </c>
    </row>
    <row r="51" spans="3:28" ht="12.75">
      <c r="C51" s="4">
        <f>B51*AA51</f>
        <v>0</v>
      </c>
      <c r="E51" s="4">
        <f>D51*AA51</f>
        <v>0</v>
      </c>
      <c r="G51" s="4">
        <f>F51*AA51</f>
        <v>0</v>
      </c>
      <c r="I51" s="4">
        <f>H51*AA51</f>
        <v>0</v>
      </c>
      <c r="K51" s="4">
        <f>J51*AA51</f>
        <v>0</v>
      </c>
      <c r="M51" s="4">
        <f>L51*AA51</f>
        <v>0</v>
      </c>
      <c r="O51" s="4">
        <f>N51*AA51</f>
        <v>0</v>
      </c>
      <c r="Z51" s="4">
        <f>B51+D51+F51+H51+J51+L51+N51</f>
        <v>0</v>
      </c>
      <c r="AB51" s="24">
        <f>Z51*AA51</f>
        <v>0</v>
      </c>
    </row>
    <row r="52" spans="3:28" ht="12.75">
      <c r="C52" s="4">
        <f>B52*AA52</f>
        <v>0</v>
      </c>
      <c r="E52" s="4">
        <f>D52*AA52</f>
        <v>0</v>
      </c>
      <c r="G52" s="4">
        <f>F52*AA52</f>
        <v>0</v>
      </c>
      <c r="I52" s="4">
        <f>H52*AA52</f>
        <v>0</v>
      </c>
      <c r="K52" s="4">
        <f>J52*AA52</f>
        <v>0</v>
      </c>
      <c r="M52" s="4">
        <f>L52*AA52</f>
        <v>0</v>
      </c>
      <c r="O52" s="4">
        <f>N52*AA52</f>
        <v>0</v>
      </c>
      <c r="Z52" s="4">
        <f>B52+D52+F52+H52+J52+L52+N52</f>
        <v>0</v>
      </c>
      <c r="AB52" s="24">
        <f>Z52*AA52</f>
        <v>0</v>
      </c>
    </row>
    <row r="53" spans="3:28" ht="12.75">
      <c r="C53" s="4">
        <f>B53*AA53</f>
        <v>0</v>
      </c>
      <c r="E53" s="4">
        <f>D53*AA53</f>
        <v>0</v>
      </c>
      <c r="G53" s="4">
        <f>F53*AA53</f>
        <v>0</v>
      </c>
      <c r="I53" s="4">
        <f>H53*AA53</f>
        <v>0</v>
      </c>
      <c r="K53" s="4">
        <f>J53*AA53</f>
        <v>0</v>
      </c>
      <c r="M53" s="4">
        <f>L53*AA53</f>
        <v>0</v>
      </c>
      <c r="O53" s="4">
        <f>N53*AA53</f>
        <v>0</v>
      </c>
      <c r="Z53" s="4">
        <f>B53+D53+F53+H53+J53+L53+N53</f>
        <v>0</v>
      </c>
      <c r="AB53" s="24">
        <f>Z53*AA53</f>
        <v>0</v>
      </c>
    </row>
    <row r="54" spans="3:28" ht="12.75">
      <c r="C54" s="4">
        <f>B54*AA54</f>
        <v>0</v>
      </c>
      <c r="E54" s="4">
        <f>D54*AA54</f>
        <v>0</v>
      </c>
      <c r="G54" s="4">
        <f>F54*AA54</f>
        <v>0</v>
      </c>
      <c r="I54" s="4">
        <f>H54*AA54</f>
        <v>0</v>
      </c>
      <c r="K54" s="4">
        <f>J54*AA54</f>
        <v>0</v>
      </c>
      <c r="M54" s="4">
        <f>L54*AA54</f>
        <v>0</v>
      </c>
      <c r="O54" s="4">
        <f>N54*AA54</f>
        <v>0</v>
      </c>
      <c r="Z54" s="4">
        <f>B54+D54+F54+H54+J54+L54+N54</f>
        <v>0</v>
      </c>
      <c r="AA54" s="4">
        <v>0.005925</v>
      </c>
      <c r="AB54" s="24">
        <f>Z54*AA54</f>
        <v>0</v>
      </c>
    </row>
    <row r="55" spans="3:28" ht="12.75">
      <c r="C55" s="4">
        <f>B55*AA55</f>
        <v>0</v>
      </c>
      <c r="E55" s="4">
        <f>D55*AA55</f>
        <v>0</v>
      </c>
      <c r="G55" s="4">
        <f>F55*AA55</f>
        <v>0</v>
      </c>
      <c r="I55" s="4">
        <f>H55*AA55</f>
        <v>0</v>
      </c>
      <c r="K55" s="4">
        <f>J55*AA55</f>
        <v>0</v>
      </c>
      <c r="M55" s="4">
        <f>L55*AA55</f>
        <v>0</v>
      </c>
      <c r="O55" s="4">
        <f>N55*AA55</f>
        <v>0</v>
      </c>
      <c r="Z55" s="4">
        <f>B55+D55+F55+H55+J55+L55+N55</f>
        <v>0</v>
      </c>
      <c r="AB55" s="24">
        <f>Z55*AA55</f>
        <v>0</v>
      </c>
    </row>
    <row r="56" spans="3:28" ht="12.75">
      <c r="C56" s="4">
        <f>B56*AA56</f>
        <v>0</v>
      </c>
      <c r="E56" s="4">
        <f>D56*AA56</f>
        <v>0</v>
      </c>
      <c r="G56" s="4">
        <f>F56*AA56</f>
        <v>0</v>
      </c>
      <c r="I56" s="4">
        <f>H56*AA56</f>
        <v>0</v>
      </c>
      <c r="K56" s="4">
        <f>J56*AA56</f>
        <v>0</v>
      </c>
      <c r="M56" s="4">
        <f>L56*AA56</f>
        <v>0</v>
      </c>
      <c r="O56" s="4">
        <f>N56*AA56</f>
        <v>0</v>
      </c>
      <c r="Z56" s="4">
        <f>B56+D56+F56+H56+J56+L56+N56</f>
        <v>0</v>
      </c>
      <c r="AB56" s="24">
        <f>Z56*AA56</f>
        <v>0</v>
      </c>
    </row>
    <row r="57" spans="3:28" ht="12.75">
      <c r="C57" s="4">
        <f>B57*AA57</f>
        <v>0</v>
      </c>
      <c r="E57" s="4">
        <f>D57*AA57</f>
        <v>0</v>
      </c>
      <c r="G57" s="4">
        <f>F57*AA57</f>
        <v>0</v>
      </c>
      <c r="I57" s="4">
        <f>H57*AA57</f>
        <v>0</v>
      </c>
      <c r="K57" s="4">
        <f>J57*AA57</f>
        <v>0</v>
      </c>
      <c r="M57" s="4">
        <f>L57*AA57</f>
        <v>0</v>
      </c>
      <c r="O57" s="4">
        <f>N57*AA57</f>
        <v>0</v>
      </c>
      <c r="Z57" s="4">
        <f>B57+D57+F57+H57+J57+L57+N57</f>
        <v>0</v>
      </c>
      <c r="AB57" s="24">
        <f>Z57*AA57</f>
        <v>0</v>
      </c>
    </row>
    <row r="58" spans="3:26" ht="12.75">
      <c r="C58" s="4">
        <f>B58*AA58</f>
        <v>0</v>
      </c>
      <c r="E58" s="4">
        <f>D58*AA58</f>
        <v>0</v>
      </c>
      <c r="G58" s="4">
        <f>F58*AA58</f>
        <v>0</v>
      </c>
      <c r="I58" s="4">
        <f>H58*AA58</f>
        <v>0</v>
      </c>
      <c r="K58" s="4">
        <f>J58*AA58</f>
        <v>0</v>
      </c>
      <c r="M58" s="4">
        <f>L58*AA58</f>
        <v>0</v>
      </c>
      <c r="O58" s="4">
        <f>N58*AA58</f>
        <v>0</v>
      </c>
      <c r="Z58" s="4">
        <f>B58+D58+F58+H58+J58+L58+N58</f>
        <v>0</v>
      </c>
    </row>
    <row r="59" spans="3:26" ht="12.75">
      <c r="C59" s="4">
        <f>B59*AA59</f>
        <v>0</v>
      </c>
      <c r="E59" s="4">
        <f>D59*AA59</f>
        <v>0</v>
      </c>
      <c r="G59" s="4">
        <f>F59*AA59</f>
        <v>0</v>
      </c>
      <c r="I59" s="4">
        <f>H59*AA59</f>
        <v>0</v>
      </c>
      <c r="K59" s="4">
        <f>J59*AA59</f>
        <v>0</v>
      </c>
      <c r="M59" s="4">
        <f>L59*AA59</f>
        <v>0</v>
      </c>
      <c r="O59" s="4">
        <f>N59*AA59</f>
        <v>0</v>
      </c>
      <c r="Z59" s="4">
        <f>B59+D59+F59+H59+J59+L59+N59</f>
        <v>0</v>
      </c>
    </row>
    <row r="60" spans="3:26" ht="12.75">
      <c r="C60" s="4">
        <f>B60*AA60</f>
        <v>0</v>
      </c>
      <c r="E60" s="4">
        <f>D60*AA60</f>
        <v>0</v>
      </c>
      <c r="G60" s="4">
        <f>F60*AA60</f>
        <v>0</v>
      </c>
      <c r="I60" s="4">
        <f>H60*AA60</f>
        <v>0</v>
      </c>
      <c r="K60" s="4">
        <f>J60*AA60</f>
        <v>0</v>
      </c>
      <c r="M60" s="4">
        <f>L60*AA60</f>
        <v>0</v>
      </c>
      <c r="O60" s="4">
        <f>N60*AA60</f>
        <v>0</v>
      </c>
      <c r="Z60" s="4">
        <f>B60+D60+F60+H60+J60+L60+N60</f>
        <v>0</v>
      </c>
    </row>
    <row r="61" spans="3:26" ht="12.75">
      <c r="C61" s="4">
        <f>B61*AA61</f>
        <v>0</v>
      </c>
      <c r="E61" s="4">
        <f>D61*AA61</f>
        <v>0</v>
      </c>
      <c r="G61" s="4">
        <f>F61*AA61</f>
        <v>0</v>
      </c>
      <c r="I61" s="4">
        <f>H61*AA61</f>
        <v>0</v>
      </c>
      <c r="K61" s="4">
        <f>J61*AA61</f>
        <v>0</v>
      </c>
      <c r="M61" s="4">
        <f>L61*AA61</f>
        <v>0</v>
      </c>
      <c r="O61" s="4">
        <f>N61*AA61</f>
        <v>0</v>
      </c>
      <c r="Z61" s="4">
        <f>B61+D61+F61+H61+J61+L61+N61</f>
        <v>0</v>
      </c>
    </row>
    <row r="62" spans="3:26" ht="12.75">
      <c r="C62" s="4">
        <f>B62*AA62</f>
        <v>0</v>
      </c>
      <c r="E62" s="4">
        <f>D62*AA62</f>
        <v>0</v>
      </c>
      <c r="G62" s="4">
        <f>F62*AA62</f>
        <v>0</v>
      </c>
      <c r="I62" s="4">
        <f>H62*AA62</f>
        <v>0</v>
      </c>
      <c r="K62" s="4">
        <f>J62*AA62</f>
        <v>0</v>
      </c>
      <c r="M62" s="4">
        <f>L62*AA62</f>
        <v>0</v>
      </c>
      <c r="Z62" s="4">
        <f>B62+D62+F62+H62+J62+L62+N62</f>
        <v>0</v>
      </c>
    </row>
    <row r="63" spans="3:26" ht="12.75">
      <c r="C63" s="4">
        <f>B63*AA63</f>
        <v>0</v>
      </c>
      <c r="E63" s="4">
        <f>D63*AA63</f>
        <v>0</v>
      </c>
      <c r="G63" s="4">
        <f>F63*AA63</f>
        <v>0</v>
      </c>
      <c r="I63" s="4">
        <f>H63*AA63</f>
        <v>0</v>
      </c>
      <c r="K63" s="4">
        <f>J63*AA63</f>
        <v>0</v>
      </c>
      <c r="M63" s="4">
        <f>L63*AA63</f>
        <v>0</v>
      </c>
      <c r="Z63" s="4">
        <f>B63+D63+F63+H63+J63+L63+N63</f>
        <v>0</v>
      </c>
    </row>
    <row r="64" spans="3:26" ht="12.75">
      <c r="C64" s="4">
        <f>B64*AA64</f>
        <v>0</v>
      </c>
      <c r="E64" s="4">
        <f>D64*AA64</f>
        <v>0</v>
      </c>
      <c r="G64" s="4">
        <f>F64*AA64</f>
        <v>0</v>
      </c>
      <c r="I64" s="4">
        <f>H64*AA64</f>
        <v>0</v>
      </c>
      <c r="K64" s="4">
        <f>J64*AA64</f>
        <v>0</v>
      </c>
      <c r="M64" s="4">
        <f>L64*AA64</f>
        <v>0</v>
      </c>
      <c r="Z64" s="4">
        <f>B64+D64+F64+H64+J64+L64+N64</f>
        <v>0</v>
      </c>
    </row>
    <row r="65" spans="3:26" ht="12.75">
      <c r="C65" s="4">
        <f>B65*AA65</f>
        <v>0</v>
      </c>
      <c r="E65" s="4">
        <f>D65*AA65</f>
        <v>0</v>
      </c>
      <c r="G65" s="4">
        <f>F65*AA65</f>
        <v>0</v>
      </c>
      <c r="I65" s="4">
        <f>H65*AA65</f>
        <v>0</v>
      </c>
      <c r="K65" s="4">
        <f>J65*AA65</f>
        <v>0</v>
      </c>
      <c r="M65" s="4">
        <f>L65*AA65</f>
        <v>0</v>
      </c>
      <c r="Z65" s="4">
        <f>B65+D65+F65+H65+J65+L65+N65</f>
        <v>0</v>
      </c>
    </row>
    <row r="66" spans="3:26" ht="12.75">
      <c r="C66" s="4">
        <f>B66*AA66</f>
        <v>0</v>
      </c>
      <c r="E66" s="4">
        <f>D66*AA66</f>
        <v>0</v>
      </c>
      <c r="G66" s="4">
        <f>F66*AA66</f>
        <v>0</v>
      </c>
      <c r="I66" s="4">
        <f>H66*AA66</f>
        <v>0</v>
      </c>
      <c r="K66" s="4">
        <f>J66*AA66</f>
        <v>0</v>
      </c>
      <c r="M66" s="4">
        <f>L66*AA66</f>
        <v>0</v>
      </c>
      <c r="Z66" s="4">
        <f>B66+D66+F66+H66+J66+L66+N66</f>
        <v>0</v>
      </c>
    </row>
    <row r="67" spans="3:26" ht="12.75">
      <c r="C67" s="4">
        <f>B67*AA67</f>
        <v>0</v>
      </c>
      <c r="E67" s="4">
        <f>D67*AA67</f>
        <v>0</v>
      </c>
      <c r="G67" s="4">
        <f>F67*AA67</f>
        <v>0</v>
      </c>
      <c r="I67" s="4">
        <f>H67*AA67</f>
        <v>0</v>
      </c>
      <c r="K67" s="4">
        <f>J67*AA67</f>
        <v>0</v>
      </c>
      <c r="M67" s="4">
        <f>L67*AA67</f>
        <v>0</v>
      </c>
      <c r="Z67" s="4">
        <f>B67+D67+F67+H67+J67+L67+N67</f>
        <v>0</v>
      </c>
    </row>
    <row r="68" spans="3:26" ht="12.75">
      <c r="C68" s="4">
        <f>B68*AA68</f>
        <v>0</v>
      </c>
      <c r="E68" s="4">
        <f>D68*AA68</f>
        <v>0</v>
      </c>
      <c r="G68" s="4">
        <f>F68*AA68</f>
        <v>0</v>
      </c>
      <c r="I68" s="4">
        <f>H68*AA68</f>
        <v>0</v>
      </c>
      <c r="K68" s="4">
        <f>J68*AA68</f>
        <v>0</v>
      </c>
      <c r="M68" s="4">
        <f>L68*AA68</f>
        <v>0</v>
      </c>
      <c r="Z68" s="4">
        <f>B68+D68+F68+H68+J68+L68+N68</f>
        <v>0</v>
      </c>
    </row>
    <row r="69" spans="3:26" ht="12.75">
      <c r="C69" s="4">
        <f>B69*AA69</f>
        <v>0</v>
      </c>
      <c r="E69" s="4">
        <f>D69*AA69</f>
        <v>0</v>
      </c>
      <c r="G69" s="4">
        <f>F69*AA69</f>
        <v>0</v>
      </c>
      <c r="I69" s="4">
        <f>H69*AA69</f>
        <v>0</v>
      </c>
      <c r="K69" s="4">
        <f>J69*AA69</f>
        <v>0</v>
      </c>
      <c r="M69" s="4">
        <f>L69*AA69</f>
        <v>0</v>
      </c>
      <c r="Z69" s="4">
        <f>B69+D69+F69+H69+J69+L69+N69</f>
        <v>0</v>
      </c>
    </row>
    <row r="70" spans="3:26" ht="12.75">
      <c r="C70" s="4">
        <f>B70*AA70</f>
        <v>0</v>
      </c>
      <c r="E70" s="4">
        <f>D70*AA70</f>
        <v>0</v>
      </c>
      <c r="G70" s="4">
        <f>F70*AA70</f>
        <v>0</v>
      </c>
      <c r="I70" s="4">
        <f>H70*AA70</f>
        <v>0</v>
      </c>
      <c r="K70" s="4">
        <f>J70*AA70</f>
        <v>0</v>
      </c>
      <c r="M70" s="4">
        <f>L70*AA70</f>
        <v>0</v>
      </c>
      <c r="Z70" s="4">
        <f>B70+D70+F70+H70+J70+L70+N70</f>
        <v>0</v>
      </c>
    </row>
    <row r="71" spans="3:26" ht="12.75">
      <c r="C71" s="4">
        <f>B71*AA71</f>
        <v>0</v>
      </c>
      <c r="E71" s="4">
        <f>D71*AA71</f>
        <v>0</v>
      </c>
      <c r="G71" s="4">
        <f>F71*AA71</f>
        <v>0</v>
      </c>
      <c r="I71" s="4">
        <f>H71*AA71</f>
        <v>0</v>
      </c>
      <c r="K71" s="4">
        <f>J71*AA71</f>
        <v>0</v>
      </c>
      <c r="M71" s="4">
        <f>L71*AA71</f>
        <v>0</v>
      </c>
      <c r="Z71" s="4">
        <f>B71+D71+F71+H71+J71+L71+N71</f>
        <v>0</v>
      </c>
    </row>
    <row r="72" spans="3:26" ht="12.75">
      <c r="C72" s="4">
        <f>B72*AA72</f>
        <v>0</v>
      </c>
      <c r="E72" s="4">
        <f>D72*AA72</f>
        <v>0</v>
      </c>
      <c r="G72" s="4">
        <f>F72*AA72</f>
        <v>0</v>
      </c>
      <c r="I72" s="4">
        <f>H72*AA72</f>
        <v>0</v>
      </c>
      <c r="K72" s="4">
        <f>J72*AA72</f>
        <v>0</v>
      </c>
      <c r="M72" s="4">
        <f>L72*AA72</f>
        <v>0</v>
      </c>
      <c r="Z72" s="4">
        <f>B72+D72+F72+H72+J72+L72+N72</f>
        <v>0</v>
      </c>
    </row>
    <row r="73" spans="3:26" ht="12.75">
      <c r="C73" s="4">
        <f>B73*AA73</f>
        <v>0</v>
      </c>
      <c r="E73" s="4">
        <f>D73*AA73</f>
        <v>0</v>
      </c>
      <c r="G73" s="4">
        <f>F73*AA73</f>
        <v>0</v>
      </c>
      <c r="I73" s="4">
        <f>H73*AA73</f>
        <v>0</v>
      </c>
      <c r="M73" s="4">
        <f>L73*AA73</f>
        <v>0</v>
      </c>
      <c r="Z73" s="4">
        <f>B73+D73+F73+H73+J73+L73+N73</f>
        <v>0</v>
      </c>
    </row>
    <row r="74" spans="3:26" ht="12.75">
      <c r="C74" s="4">
        <f>B74*AA74</f>
        <v>0</v>
      </c>
      <c r="E74" s="4">
        <f>D74*AA74</f>
        <v>0</v>
      </c>
      <c r="G74" s="4">
        <f>F74*AA74</f>
        <v>0</v>
      </c>
      <c r="I74" s="4">
        <f>H74*AA74</f>
        <v>0</v>
      </c>
      <c r="M74" s="4">
        <f>L74*AA74</f>
        <v>0</v>
      </c>
      <c r="Z74" s="4">
        <f>B74+D74+F74+H74+J74+L74+N74</f>
        <v>0</v>
      </c>
    </row>
    <row r="75" spans="3:26" ht="12.75">
      <c r="C75" s="4">
        <f>B75*AA75</f>
        <v>0</v>
      </c>
      <c r="E75" s="4">
        <f>D75*AA75</f>
        <v>0</v>
      </c>
      <c r="G75" s="4">
        <f>F75*AA75</f>
        <v>0</v>
      </c>
      <c r="I75" s="4">
        <f>H75*AA75</f>
        <v>0</v>
      </c>
      <c r="M75" s="4">
        <f>L75*AA75</f>
        <v>0</v>
      </c>
      <c r="Z75" s="4">
        <f>B75+D75+F75+H75+J75+L75+N75</f>
        <v>0</v>
      </c>
    </row>
    <row r="76" spans="3:26" ht="12.75">
      <c r="C76" s="4">
        <f>B76*AA76</f>
        <v>0</v>
      </c>
      <c r="E76" s="4">
        <f>D76*AA76</f>
        <v>0</v>
      </c>
      <c r="G76" s="4">
        <f>F76*AA76</f>
        <v>0</v>
      </c>
      <c r="I76" s="4">
        <f>H76*AA76</f>
        <v>0</v>
      </c>
      <c r="M76" s="4">
        <f>L76*AA76</f>
        <v>0</v>
      </c>
      <c r="Z76" s="4">
        <f>B76+D76+F76+H76+J76+L76+N76</f>
        <v>0</v>
      </c>
    </row>
    <row r="77" spans="3:26" ht="12.75">
      <c r="C77" s="4">
        <f>B77*AA77</f>
        <v>0</v>
      </c>
      <c r="E77" s="4">
        <f>D77*AA77</f>
        <v>0</v>
      </c>
      <c r="G77" s="4">
        <f>F77*AA77</f>
        <v>0</v>
      </c>
      <c r="I77" s="4">
        <f>H77*AA77</f>
        <v>0</v>
      </c>
      <c r="M77" s="4">
        <f>L77*AA77</f>
        <v>0</v>
      </c>
      <c r="Z77" s="4">
        <f>B77+D77+F77+H77+J77+L77+N77</f>
        <v>0</v>
      </c>
    </row>
    <row r="78" spans="3:26" ht="12.75">
      <c r="C78" s="4">
        <f>B78*AA78</f>
        <v>0</v>
      </c>
      <c r="E78" s="4">
        <f>D78*AA78</f>
        <v>0</v>
      </c>
      <c r="G78" s="4">
        <f>F78*AA78</f>
        <v>0</v>
      </c>
      <c r="I78" s="4">
        <f>H78*AA78</f>
        <v>0</v>
      </c>
      <c r="Z78" s="4">
        <f>B78+D78+F78+H78+J78+L78+N78</f>
        <v>0</v>
      </c>
    </row>
    <row r="79" spans="3:26" ht="12.75">
      <c r="C79" s="4">
        <f>B79*AA79</f>
        <v>0</v>
      </c>
      <c r="E79" s="4">
        <f>D79*AA79</f>
        <v>0</v>
      </c>
      <c r="G79" s="4">
        <f>F79*AA79</f>
        <v>0</v>
      </c>
      <c r="I79" s="4">
        <f>H79*AA79</f>
        <v>0</v>
      </c>
      <c r="Z79" s="4">
        <f>B79+D79+F79+H79+J79+L79+N79</f>
        <v>0</v>
      </c>
    </row>
    <row r="80" spans="3:26" ht="12.75">
      <c r="C80" s="4">
        <f>B80*AA80</f>
        <v>0</v>
      </c>
      <c r="E80" s="4">
        <f>D80*AA80</f>
        <v>0</v>
      </c>
      <c r="G80" s="4">
        <f>F80*AA80</f>
        <v>0</v>
      </c>
      <c r="I80" s="4">
        <f>H80*AA80</f>
        <v>0</v>
      </c>
      <c r="Z80" s="4">
        <f>B80+D80+F80+H80+J80+L80+N80</f>
        <v>0</v>
      </c>
    </row>
    <row r="81" spans="3:26" ht="12.75">
      <c r="C81" s="4">
        <f>B81*AA81</f>
        <v>0</v>
      </c>
      <c r="E81" s="4">
        <f>D81*AA81</f>
        <v>0</v>
      </c>
      <c r="G81" s="4">
        <f>F81*AA81</f>
        <v>0</v>
      </c>
      <c r="I81" s="4">
        <f>H81*AA81</f>
        <v>0</v>
      </c>
      <c r="Z81" s="4">
        <f>B81+D81+F81+H81+J81+L81+N81</f>
        <v>0</v>
      </c>
    </row>
    <row r="82" spans="3:26" ht="12.75">
      <c r="C82" s="4">
        <f>B82*AA82</f>
        <v>0</v>
      </c>
      <c r="E82" s="4">
        <f>D82*AA82</f>
        <v>0</v>
      </c>
      <c r="G82" s="4">
        <f>F82*AA82</f>
        <v>0</v>
      </c>
      <c r="I82" s="4">
        <f>H82*AA82</f>
        <v>0</v>
      </c>
      <c r="Z82" s="4">
        <f>B82+D82+F82+H82+J82+L82+N82</f>
        <v>0</v>
      </c>
    </row>
    <row r="83" spans="3:26" ht="12.75">
      <c r="C83" s="4">
        <f>B83*AA83</f>
        <v>0</v>
      </c>
      <c r="E83" s="4">
        <f>D83*AA83</f>
        <v>0</v>
      </c>
      <c r="Z83" s="4">
        <f>B83+D83+F83+H83+J83+L83+N83</f>
        <v>0</v>
      </c>
    </row>
    <row r="84" spans="3:26" ht="12.75">
      <c r="C84" s="4">
        <f>B84*AA84</f>
        <v>0</v>
      </c>
      <c r="E84" s="4">
        <f>D84*AA84</f>
        <v>0</v>
      </c>
      <c r="Z84" s="4">
        <f>B84+D84+F84+H84+J84+L84+N84</f>
        <v>0</v>
      </c>
    </row>
    <row r="85" spans="3:26" ht="12.75">
      <c r="C85" s="4">
        <f>B85*AA85</f>
        <v>0</v>
      </c>
      <c r="E85" s="4">
        <f>D85*AA85</f>
        <v>0</v>
      </c>
      <c r="Z85" s="4">
        <f>B85+D85+F85+H85+J85+L85+N85</f>
        <v>0</v>
      </c>
    </row>
    <row r="86" spans="3:26" ht="12.75">
      <c r="C86" s="4">
        <f>B86*AA86</f>
        <v>0</v>
      </c>
      <c r="E86" s="4">
        <f>D86*AA86</f>
        <v>0</v>
      </c>
      <c r="Z86" s="4">
        <f>B86+D86+F86+H86+J86+L86+N86</f>
        <v>0</v>
      </c>
    </row>
    <row r="87" spans="3:26" ht="12.75">
      <c r="C87" s="4">
        <f>B87*AA87</f>
        <v>0</v>
      </c>
      <c r="E87" s="4">
        <f>D87*AA87</f>
        <v>0</v>
      </c>
      <c r="Z87" s="4">
        <f>B87+D87+F87+H87+J87+L87+N87</f>
        <v>0</v>
      </c>
    </row>
    <row r="88" spans="3:26" ht="12.75">
      <c r="C88" s="4">
        <f>B88*AA88</f>
        <v>0</v>
      </c>
      <c r="E88" s="4">
        <f>D88*AA88</f>
        <v>0</v>
      </c>
      <c r="Z88" s="4">
        <f>B88+D88+F88+H88+J88+L88+N88</f>
        <v>0</v>
      </c>
    </row>
    <row r="89" spans="3:26" ht="12.75">
      <c r="C89" s="4">
        <f>B89*AA89</f>
        <v>0</v>
      </c>
      <c r="E89" s="4">
        <f>D89*AA89</f>
        <v>0</v>
      </c>
      <c r="Z89" s="4">
        <f>B89+D89+F89+H89+J89+L89+N89</f>
        <v>0</v>
      </c>
    </row>
    <row r="90" spans="3:26" ht="12.75">
      <c r="C90" s="4">
        <f>B90*AA90</f>
        <v>0</v>
      </c>
      <c r="E90" s="4">
        <f>D90*AA90</f>
        <v>0</v>
      </c>
      <c r="Z90" s="4">
        <f>B90+D90+F90+H90+J90+L90+N90</f>
        <v>0</v>
      </c>
    </row>
    <row r="91" spans="3:26" ht="12.75">
      <c r="C91" s="4">
        <f>B91*AA91</f>
        <v>0</v>
      </c>
      <c r="E91" s="4">
        <f>D91*AA91</f>
        <v>0</v>
      </c>
      <c r="Z91" s="4">
        <f>B91+D91+F91+H91+J91+L91+N91</f>
        <v>0</v>
      </c>
    </row>
    <row r="92" spans="3:26" ht="12.75">
      <c r="C92" s="4">
        <f>B92*AA92</f>
        <v>0</v>
      </c>
      <c r="E92" s="4">
        <f>D92*AA92</f>
        <v>0</v>
      </c>
      <c r="Z92" s="4">
        <f>B92+D92+F92+H92+J92+L92+N92</f>
        <v>0</v>
      </c>
    </row>
    <row r="93" spans="3:26" ht="12.75">
      <c r="C93" s="4">
        <f>B93*AA93</f>
        <v>0</v>
      </c>
      <c r="E93" s="4">
        <f>D93*AA93</f>
        <v>0</v>
      </c>
      <c r="Z93" s="4">
        <f>B93+D93+F93+H93+J93+L93+N93</f>
        <v>0</v>
      </c>
    </row>
    <row r="94" spans="3:26" ht="12.75">
      <c r="C94" s="4">
        <f>B94*AA94</f>
        <v>0</v>
      </c>
      <c r="E94" s="4">
        <f>D94*AA94</f>
        <v>0</v>
      </c>
      <c r="Z94" s="4">
        <f>B94+D94+F94+H94+J94+L94+N94</f>
        <v>0</v>
      </c>
    </row>
    <row r="95" spans="3:26" ht="12.75">
      <c r="C95" s="4">
        <f>B95*AA95</f>
        <v>0</v>
      </c>
      <c r="E95" s="4">
        <f>D95*AA95</f>
        <v>0</v>
      </c>
      <c r="Z95" s="4">
        <f>B95+D95+F95+H95+J95+L95+N95</f>
        <v>0</v>
      </c>
    </row>
    <row r="96" spans="3:26" ht="12.75">
      <c r="C96" s="4">
        <f>B96*AA96</f>
        <v>0</v>
      </c>
      <c r="E96" s="4">
        <f>D96*AA96</f>
        <v>0</v>
      </c>
      <c r="Z96" s="4">
        <f>B96+D96+F96+H96+J96+L96+N96</f>
        <v>0</v>
      </c>
    </row>
    <row r="97" spans="3:26" ht="12.75">
      <c r="C97" s="4">
        <f>B97*AA97</f>
        <v>0</v>
      </c>
      <c r="Z97" s="4">
        <f>B97+D97+F97+H97+J97+L97+N97</f>
        <v>0</v>
      </c>
    </row>
    <row r="98" spans="3:26" ht="12.75">
      <c r="C98" s="4">
        <f>B98*AA98</f>
        <v>0</v>
      </c>
      <c r="Z98" s="4">
        <f>B98+D98+F98+H98+J98+L98+N98</f>
        <v>0</v>
      </c>
    </row>
    <row r="99" spans="3:26" ht="12.75">
      <c r="C99" s="4">
        <f>B99*AA99</f>
        <v>0</v>
      </c>
      <c r="Z99" s="4">
        <f>B99+D99+F99+H99+J99+L99+N99</f>
        <v>0</v>
      </c>
    </row>
    <row r="100" spans="3:26" ht="12.75">
      <c r="C100" s="4">
        <f>B100*AA100</f>
        <v>0</v>
      </c>
      <c r="Z100" s="4">
        <f>B100+D100+F100+H100+J100+L100+N100</f>
        <v>0</v>
      </c>
    </row>
    <row r="101" spans="3:26" ht="12.75">
      <c r="C101" s="4">
        <f>B101*AA101</f>
        <v>0</v>
      </c>
      <c r="Z101" s="4">
        <f>B101+D101+F101+H101+J101+L101+N101</f>
        <v>0</v>
      </c>
    </row>
    <row r="102" spans="3:26" ht="12.75">
      <c r="C102" s="4">
        <f>B102*AA102</f>
        <v>0</v>
      </c>
      <c r="Z102" s="4">
        <f>B102+D102+F102+H102+J102+L102+N102</f>
        <v>0</v>
      </c>
    </row>
    <row r="103" spans="3:26" ht="12.75">
      <c r="C103" s="4">
        <f>B103*AA103</f>
        <v>0</v>
      </c>
      <c r="Z103" s="4">
        <f>B103+D103+F103+H103+J103+L103+N103</f>
        <v>0</v>
      </c>
    </row>
    <row r="104" spans="3:26" ht="12.75">
      <c r="C104" s="4">
        <f>B104*AA104</f>
        <v>0</v>
      </c>
      <c r="Z104" s="4">
        <f>B104+D104+F104+H104+J104+L104+N104</f>
        <v>0</v>
      </c>
    </row>
    <row r="105" spans="3:26" ht="12.75">
      <c r="C105" s="4">
        <f>B105*AA105</f>
        <v>0</v>
      </c>
      <c r="Z105" s="4">
        <f>B105+D105+F105+H105+J105+L105+N105</f>
        <v>0</v>
      </c>
    </row>
    <row r="106" spans="3:26" ht="12.75">
      <c r="C106" s="4">
        <f>B106*AA106</f>
        <v>0</v>
      </c>
      <c r="Z106" s="4">
        <f>B106+D106+F106+H106+J106+L106+N106</f>
        <v>0</v>
      </c>
    </row>
    <row r="107" spans="3:26" ht="12.75">
      <c r="C107" s="4">
        <f>B107*AA107</f>
        <v>0</v>
      </c>
      <c r="Z107" s="4">
        <f>B107+D107+F107+H107+J107+L107+N107</f>
        <v>0</v>
      </c>
    </row>
    <row r="108" spans="3:26" ht="12.75">
      <c r="C108" s="4">
        <f>B108*AA108</f>
        <v>0</v>
      </c>
      <c r="Z108" s="4">
        <f>B108+D108+F108+H108+J108+L108+N108</f>
        <v>0</v>
      </c>
    </row>
    <row r="109" spans="3:26" ht="12.75">
      <c r="C109" s="4">
        <f>B109*AA109</f>
        <v>0</v>
      </c>
      <c r="Z109" s="4">
        <f>B109+D109+F109+H109+J109+L109+N109</f>
        <v>0</v>
      </c>
    </row>
    <row r="110" spans="3:26" ht="12.75">
      <c r="C110" s="4">
        <f>B110*AA110</f>
        <v>0</v>
      </c>
      <c r="Z110" s="4">
        <f>B110+D110+F110+H110+J110+L110+N110</f>
        <v>0</v>
      </c>
    </row>
    <row r="111" spans="3:26" ht="12.75">
      <c r="C111" s="4">
        <f>B111*AA111</f>
        <v>0</v>
      </c>
      <c r="Z111" s="4">
        <f>B111+D111+F111+H111+J111+L111+N111</f>
        <v>0</v>
      </c>
    </row>
    <row r="112" spans="3:26" ht="12.75">
      <c r="C112" s="4">
        <f>B112*AA112</f>
        <v>0</v>
      </c>
      <c r="Z112" s="4">
        <f>B112+D112+F112+H112+J112+L112+N112</f>
        <v>0</v>
      </c>
    </row>
    <row r="113" spans="3:26" ht="12.75">
      <c r="C113" s="4">
        <f>B113*AA113</f>
        <v>0</v>
      </c>
      <c r="Z113" s="4">
        <f>B113+D113+F113+H113+J113+L113+N113</f>
        <v>0</v>
      </c>
    </row>
    <row r="114" spans="3:26" ht="12.75">
      <c r="C114" s="4">
        <f>B114*AA114</f>
        <v>0</v>
      </c>
      <c r="Z114" s="4">
        <f>B114+D114+F114+H114+J114+L114+N114</f>
        <v>0</v>
      </c>
    </row>
    <row r="115" spans="3:26" ht="12.75">
      <c r="C115" s="4">
        <f>B115*AA115</f>
        <v>0</v>
      </c>
      <c r="Z115" s="4">
        <f>B115+D115+F115+H115+J115+L115+N115</f>
        <v>0</v>
      </c>
    </row>
    <row r="116" spans="3:26" ht="12.75">
      <c r="C116" s="4">
        <f>B116*AA116</f>
        <v>0</v>
      </c>
      <c r="Z116" s="4">
        <f>B116+D116+F116+H116+J116+L116+N116</f>
        <v>0</v>
      </c>
    </row>
    <row r="117" spans="3:26" ht="12.75">
      <c r="C117" s="4">
        <f>B117*AA117</f>
        <v>0</v>
      </c>
      <c r="Z117" s="4">
        <f>B117+D117+F117+H117+J117+L117+N117</f>
        <v>0</v>
      </c>
    </row>
    <row r="118" spans="3:26" ht="12.75">
      <c r="C118" s="4">
        <f>B118*AA118</f>
        <v>0</v>
      </c>
      <c r="Z118" s="4">
        <f>B118+D118+F118+H118+J118+L118+N118</f>
        <v>0</v>
      </c>
    </row>
    <row r="119" spans="3:26" ht="12.75">
      <c r="C119" s="4">
        <f>B119*AA119</f>
        <v>0</v>
      </c>
      <c r="Z119" s="4">
        <f>B119+D119+F119+H119+J119+L119+N119</f>
        <v>0</v>
      </c>
    </row>
    <row r="120" spans="3:26" ht="12.75">
      <c r="C120" s="4">
        <f>B120*AA120</f>
        <v>0</v>
      </c>
      <c r="Z120" s="4">
        <f>B120+D120+F120+H120+J120+L120+N120</f>
        <v>0</v>
      </c>
    </row>
    <row r="121" spans="3:26" ht="12.75">
      <c r="C121" s="4">
        <f>B121*AA121</f>
        <v>0</v>
      </c>
      <c r="Z121" s="4">
        <f>B121+D121+F121+H121+J121+L121+N121</f>
        <v>0</v>
      </c>
    </row>
    <row r="122" spans="3:26" ht="12.75">
      <c r="C122" s="4">
        <f>B122*AA122</f>
        <v>0</v>
      </c>
      <c r="Z122" s="4">
        <f>B122+D122+F122+H122+J122+L122+N122</f>
        <v>0</v>
      </c>
    </row>
    <row r="123" spans="3:26" ht="12.75">
      <c r="C123" s="4">
        <f>B123*AA123</f>
        <v>0</v>
      </c>
      <c r="Z123" s="4">
        <f>B123+D123+F123+H123+J123+L123+N123</f>
        <v>0</v>
      </c>
    </row>
    <row r="124" spans="3:26" ht="12.75">
      <c r="C124" s="4">
        <f>B124*AA124</f>
        <v>0</v>
      </c>
      <c r="Z124" s="4">
        <f>B124+D124+F124+H124+J124+L124+N124</f>
        <v>0</v>
      </c>
    </row>
    <row r="125" spans="3:26" ht="12.75">
      <c r="C125" s="4">
        <f>B125*AA125</f>
        <v>0</v>
      </c>
      <c r="Z125" s="4">
        <f>B125+D125+F125+H125+J125+L125+N125</f>
        <v>0</v>
      </c>
    </row>
    <row r="126" spans="3:26" ht="12.75">
      <c r="C126" s="4">
        <f>B126*AA126</f>
        <v>0</v>
      </c>
      <c r="Z126" s="4">
        <f>B126+D126+F126+H126+J126+L126+N126</f>
        <v>0</v>
      </c>
    </row>
    <row r="127" spans="3:26" ht="12.75">
      <c r="C127" s="4">
        <f>B127*AA127</f>
        <v>0</v>
      </c>
      <c r="Z127" s="4">
        <f>B127+D127+F127+H127+J127+L127+N127</f>
        <v>0</v>
      </c>
    </row>
    <row r="128" spans="3:26" ht="12.75">
      <c r="C128" s="4">
        <f>B128*AA128</f>
        <v>0</v>
      </c>
      <c r="Z128" s="4">
        <f>B128+D128+F128+H128+J128+L128+N128</f>
        <v>0</v>
      </c>
    </row>
    <row r="129" spans="3:26" ht="12.75">
      <c r="C129" s="4">
        <f>B129*AA129</f>
        <v>0</v>
      </c>
      <c r="Z129" s="4">
        <f>B129+D129+F129+H129+J129+L129+N129</f>
        <v>0</v>
      </c>
    </row>
    <row r="130" spans="3:26" ht="12.75">
      <c r="C130" s="4">
        <f>B130*AA130</f>
        <v>0</v>
      </c>
      <c r="Z130" s="4">
        <f>B130+D130+F130+H130+J130+L130+N130</f>
        <v>0</v>
      </c>
    </row>
    <row r="131" spans="3:26" ht="12.75">
      <c r="C131" s="4">
        <f>B131*AA131</f>
        <v>0</v>
      </c>
      <c r="Z131" s="4">
        <f>B131+D131+F131+H131+J131+L131+N131</f>
        <v>0</v>
      </c>
    </row>
    <row r="132" spans="3:26" ht="12.75">
      <c r="C132" s="4">
        <f>B132*AA132</f>
        <v>0</v>
      </c>
      <c r="Z132" s="4">
        <f>B132+D132+F132+H132+J132+L132+N132</f>
        <v>0</v>
      </c>
    </row>
    <row r="133" ht="12.75">
      <c r="Z133" s="4">
        <f>B133+D133+F133+H133+J133+L133+N133</f>
        <v>0</v>
      </c>
    </row>
    <row r="134" ht="12.75">
      <c r="Z134" s="4">
        <f>B134+D134+F134+H134+J134+L134+N134</f>
        <v>0</v>
      </c>
    </row>
    <row r="135" ht="12.75">
      <c r="Z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5"/>
  <sheetViews>
    <sheetView zoomScale="95" zoomScaleNormal="95" workbookViewId="0" topLeftCell="A1">
      <selection activeCell="A1" sqref="A1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6" width="7.75390625" style="4" customWidth="1"/>
    <col min="17" max="17" width="15.25390625" style="4" customWidth="1"/>
    <col min="18" max="18" width="5.00390625" style="4" customWidth="1"/>
    <col min="19" max="19" width="10.625" style="4" customWidth="1"/>
    <col min="20" max="20" width="6.875" style="4" customWidth="1"/>
    <col min="21" max="21" width="3.25390625" style="4" customWidth="1"/>
    <col min="22" max="22" width="8.375" style="4" customWidth="1"/>
    <col min="23" max="23" width="6.50390625" style="4" customWidth="1"/>
    <col min="24" max="24" width="7.00390625" style="4" customWidth="1"/>
    <col min="25" max="25" width="23.375" style="4" customWidth="1"/>
    <col min="26" max="26" width="15.25390625" style="4" customWidth="1"/>
    <col min="27" max="27" width="8.875" style="4" customWidth="1"/>
    <col min="28" max="28" width="9.00390625" style="24" customWidth="1"/>
    <col min="29" max="29" width="1.4921875" style="4" customWidth="1"/>
    <col min="30" max="30" width="2.75390625" style="4" customWidth="1"/>
    <col min="31" max="31" width="1.875" style="4" customWidth="1"/>
    <col min="32" max="32" width="16.50390625" style="4" customWidth="1"/>
    <col min="33" max="33" width="11.625" style="4" customWidth="1"/>
    <col min="34" max="34" width="1.4921875" style="4" customWidth="1"/>
    <col min="35" max="35" width="13.875" style="4" customWidth="1"/>
    <col min="36" max="36" width="14.25390625" style="4" customWidth="1"/>
    <col min="37" max="37" width="2.00390625" style="4" customWidth="1"/>
    <col min="38" max="38" width="22.125" style="4" customWidth="1"/>
    <col min="39" max="39" width="10.625" style="4" customWidth="1"/>
    <col min="40" max="40" width="2.375" style="4" customWidth="1"/>
    <col min="41" max="41" width="15.125" style="4" customWidth="1"/>
    <col min="42" max="42" width="10.625" style="4" customWidth="1"/>
    <col min="43" max="43" width="2.625" style="4" customWidth="1"/>
    <col min="44" max="44" width="10.625" style="4" customWidth="1"/>
    <col min="45" max="45" width="14.625" style="4" customWidth="1"/>
    <col min="46" max="16384" width="10.625" style="4" customWidth="1"/>
  </cols>
  <sheetData>
    <row r="1" spans="1:30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106</v>
      </c>
      <c r="Q1" s="4" t="s">
        <v>107</v>
      </c>
      <c r="R1" s="4" t="s">
        <v>108</v>
      </c>
      <c r="S1" s="4" t="s">
        <v>109</v>
      </c>
      <c r="T1" s="4" t="s">
        <v>110</v>
      </c>
      <c r="U1" s="4" t="s">
        <v>111</v>
      </c>
      <c r="V1" s="4" t="s">
        <v>112</v>
      </c>
      <c r="W1" s="4" t="s">
        <v>113</v>
      </c>
      <c r="X1" s="4" t="s">
        <v>114</v>
      </c>
      <c r="Z1" s="4" t="s">
        <v>115</v>
      </c>
      <c r="AA1" s="4" t="s">
        <v>116</v>
      </c>
      <c r="AB1" s="26" t="s">
        <v>117</v>
      </c>
      <c r="AD1" s="4" t="s">
        <v>118</v>
      </c>
    </row>
    <row r="2" spans="1:46" ht="14.25">
      <c r="A2" s="27">
        <v>42767</v>
      </c>
      <c r="B2" s="4">
        <f>(7000*2)+(2200*2)+6000</f>
        <v>24400</v>
      </c>
      <c r="C2" s="4">
        <f>B2*AA2</f>
        <v>28.46666666666667</v>
      </c>
      <c r="D2" s="4">
        <f>6000+12700</f>
        <v>18700</v>
      </c>
      <c r="E2" s="4">
        <f>D2*AA2</f>
        <v>21.81666666666667</v>
      </c>
      <c r="G2" s="4">
        <f>F2*AA2</f>
        <v>0</v>
      </c>
      <c r="I2" s="4">
        <f>H2*AA2</f>
        <v>0</v>
      </c>
      <c r="K2" s="4">
        <f>J2*AA2</f>
        <v>0</v>
      </c>
      <c r="L2" s="4">
        <v>10000</v>
      </c>
      <c r="M2" s="4">
        <f>L2*AA2</f>
        <v>11.666666666666668</v>
      </c>
      <c r="O2" s="4">
        <f>N2*AA2</f>
        <v>0</v>
      </c>
      <c r="T2" s="4" t="s">
        <v>119</v>
      </c>
      <c r="Y2" s="4" t="s">
        <v>162</v>
      </c>
      <c r="Z2" s="4">
        <f>B2+D2+F2+H2+J2+L2+N2</f>
        <v>53100</v>
      </c>
      <c r="AA2" s="4">
        <f>(700/600000)</f>
        <v>0.0011666666666666668</v>
      </c>
      <c r="AB2" s="24">
        <f>Z2*AA2</f>
        <v>61.95</v>
      </c>
      <c r="AD2" s="4">
        <v>6</v>
      </c>
      <c r="AF2" s="4" t="s">
        <v>121</v>
      </c>
      <c r="AG2" s="4">
        <f>SUM(AB2:AB994)</f>
        <v>1485.6045225000003</v>
      </c>
      <c r="AI2" s="4" t="s">
        <v>122</v>
      </c>
      <c r="AJ2" s="28">
        <f>AG2/AG5</f>
        <v>53.05730437500001</v>
      </c>
      <c r="AL2" s="4" t="s">
        <v>123</v>
      </c>
      <c r="AM2" s="4">
        <f>COUNTBLANK(L2:L40)-COUNTBLANK(A2:A40)</f>
        <v>4</v>
      </c>
      <c r="AN2" s="29"/>
      <c r="AO2" s="29" t="s">
        <v>124</v>
      </c>
      <c r="AP2" s="29">
        <f>SUMIF(AD2:AD44,"=7",AB2:AB44)</f>
        <v>0</v>
      </c>
      <c r="AQ2" s="29"/>
      <c r="AR2" s="29"/>
      <c r="AS2" s="29" t="s">
        <v>125</v>
      </c>
      <c r="AT2" s="29">
        <f>SUMIF(AD2:AD44,"=6",AB2:AB44)</f>
        <v>1485.6045225000003</v>
      </c>
    </row>
    <row r="3" spans="1:46" ht="14.25">
      <c r="A3" s="27">
        <v>42768</v>
      </c>
      <c r="C3" s="4">
        <f>B3*AA3</f>
        <v>0</v>
      </c>
      <c r="D3" s="4">
        <f>21500+2800+4000</f>
        <v>28300</v>
      </c>
      <c r="E3" s="4">
        <f>D3*AA3</f>
        <v>33.01666666666667</v>
      </c>
      <c r="G3" s="4">
        <f>F3*AA3</f>
        <v>0</v>
      </c>
      <c r="I3" s="4">
        <f>H3*AA3</f>
        <v>0</v>
      </c>
      <c r="K3" s="4">
        <f>J3*AA3</f>
        <v>0</v>
      </c>
      <c r="L3" s="4">
        <v>10000</v>
      </c>
      <c r="M3" s="4">
        <f>L3*AA3</f>
        <v>11.666666666666668</v>
      </c>
      <c r="O3" s="4">
        <f>N3*AA3</f>
        <v>0</v>
      </c>
      <c r="T3" s="4" t="s">
        <v>119</v>
      </c>
      <c r="Y3" s="4" t="s">
        <v>162</v>
      </c>
      <c r="Z3" s="4">
        <f>B3+D3+F3+H3+J3+L3+N3</f>
        <v>38300</v>
      </c>
      <c r="AA3" s="4">
        <f>(700/600000)</f>
        <v>0.0011666666666666668</v>
      </c>
      <c r="AB3" s="24">
        <f>Z3*AA3</f>
        <v>44.68333333333334</v>
      </c>
      <c r="AD3" s="4">
        <v>6</v>
      </c>
      <c r="AF3" s="30"/>
      <c r="AI3" s="30"/>
      <c r="AJ3" s="31"/>
      <c r="AL3" s="4" t="s">
        <v>126</v>
      </c>
      <c r="AM3" s="4">
        <f>COUNT(L2:L36)</f>
        <v>24</v>
      </c>
      <c r="AO3" s="29" t="s">
        <v>127</v>
      </c>
      <c r="AP3" s="29">
        <f>_xlfn.COUNTIFS(A2:A44,"&lt;&gt;''",AD2:AD44,"=7")</f>
        <v>0</v>
      </c>
      <c r="AQ3" s="29"/>
      <c r="AR3" s="29"/>
      <c r="AS3" s="29" t="s">
        <v>128</v>
      </c>
      <c r="AT3" s="29">
        <f>_xlfn.COUNTIFS(A2:A44,"&lt;&gt;''",AD2:AD44,"=6")</f>
        <v>28</v>
      </c>
    </row>
    <row r="4" spans="1:46" ht="12.75">
      <c r="A4" s="27">
        <v>42769</v>
      </c>
      <c r="B4" s="4">
        <f>8000</f>
        <v>8000</v>
      </c>
      <c r="C4" s="4">
        <f>B4*AA4</f>
        <v>9.333333333333334</v>
      </c>
      <c r="D4" s="4">
        <f>49800+2000+1300</f>
        <v>53100</v>
      </c>
      <c r="E4" s="4">
        <f>D4*AA4</f>
        <v>61.95</v>
      </c>
      <c r="G4" s="4">
        <f>F4*AA4</f>
        <v>0</v>
      </c>
      <c r="I4" s="4">
        <f>H4*AA4</f>
        <v>0</v>
      </c>
      <c r="K4" s="4">
        <f>J4*AA4</f>
        <v>0</v>
      </c>
      <c r="L4" s="4">
        <v>10000</v>
      </c>
      <c r="M4" s="4">
        <f>L4*AA4</f>
        <v>11.666666666666668</v>
      </c>
      <c r="O4" s="4">
        <f>N4*AA4</f>
        <v>0</v>
      </c>
      <c r="T4" s="4" t="s">
        <v>119</v>
      </c>
      <c r="Y4" s="4" t="s">
        <v>162</v>
      </c>
      <c r="Z4" s="4">
        <f>B4+D4+F4+H4+J4+L4+N4</f>
        <v>71100</v>
      </c>
      <c r="AA4" s="4">
        <f>(700/600000)</f>
        <v>0.0011666666666666668</v>
      </c>
      <c r="AB4" s="24">
        <f>Z4*AA4</f>
        <v>82.95</v>
      </c>
      <c r="AD4" s="4">
        <v>6</v>
      </c>
      <c r="AL4" s="4" t="s">
        <v>130</v>
      </c>
      <c r="AM4" s="4">
        <f>COUNTA(U2:U49)</f>
        <v>0</v>
      </c>
      <c r="AO4" s="29" t="s">
        <v>131</v>
      </c>
      <c r="AP4" s="29" t="e">
        <f>AP2/AP3</f>
        <v>#DIV/0!</v>
      </c>
      <c r="AQ4" s="29"/>
      <c r="AR4" s="29"/>
      <c r="AS4" s="29" t="s">
        <v>132</v>
      </c>
      <c r="AT4" s="29">
        <f>AT2/AT3</f>
        <v>53.05730437500001</v>
      </c>
    </row>
    <row r="5" spans="1:39" ht="12.75">
      <c r="A5" s="27">
        <v>42770</v>
      </c>
      <c r="C5" s="4">
        <f>B5*AA5</f>
        <v>0</v>
      </c>
      <c r="D5" s="4">
        <f>8000+1300+2000</f>
        <v>11300</v>
      </c>
      <c r="E5" s="4">
        <f>D5*AA5</f>
        <v>13.183333333333334</v>
      </c>
      <c r="G5" s="4">
        <f>F5*AA5</f>
        <v>0</v>
      </c>
      <c r="I5" s="4">
        <f>H5*AA5</f>
        <v>0</v>
      </c>
      <c r="K5" s="4">
        <f>J5*AA5</f>
        <v>0</v>
      </c>
      <c r="L5" s="4">
        <v>10000</v>
      </c>
      <c r="M5" s="4">
        <f>L5*AA5</f>
        <v>11.666666666666668</v>
      </c>
      <c r="O5" s="4">
        <f>N5*AA5</f>
        <v>0</v>
      </c>
      <c r="T5" s="4" t="s">
        <v>119</v>
      </c>
      <c r="Y5" s="4" t="s">
        <v>162</v>
      </c>
      <c r="Z5" s="4">
        <f>B5+D5+F5+H5+J5+L5+N5</f>
        <v>21300</v>
      </c>
      <c r="AA5" s="4">
        <f>(700/600000)</f>
        <v>0.0011666666666666668</v>
      </c>
      <c r="AB5" s="24">
        <f>Z5*AA5</f>
        <v>24.85</v>
      </c>
      <c r="AD5" s="4">
        <v>6</v>
      </c>
      <c r="AF5" s="4" t="s">
        <v>134</v>
      </c>
      <c r="AG5" s="4">
        <f>COUNTA(A2:A349)</f>
        <v>28</v>
      </c>
      <c r="AL5" s="4" t="s">
        <v>135</v>
      </c>
      <c r="AM5" s="4">
        <f>COUNTA(P2:P49)</f>
        <v>0</v>
      </c>
    </row>
    <row r="6" spans="1:39" ht="14.25">
      <c r="A6" s="27">
        <v>42771</v>
      </c>
      <c r="B6" s="4">
        <v>6000</v>
      </c>
      <c r="C6" s="4">
        <f>B6*AA6</f>
        <v>7.000000000000001</v>
      </c>
      <c r="D6" s="4">
        <f>8000+21000+10000+9200+3900+850</f>
        <v>52950</v>
      </c>
      <c r="E6" s="4">
        <f>D6*AA6</f>
        <v>61.775000000000006</v>
      </c>
      <c r="G6" s="4">
        <f>F6*AA6</f>
        <v>0</v>
      </c>
      <c r="I6" s="4">
        <f>H6*AA6</f>
        <v>0</v>
      </c>
      <c r="K6" s="4">
        <f>J6*AA6</f>
        <v>0</v>
      </c>
      <c r="L6" s="4">
        <v>10000</v>
      </c>
      <c r="M6" s="4">
        <f>L6*AA6</f>
        <v>11.666666666666668</v>
      </c>
      <c r="O6" s="4">
        <f>N6*AA6</f>
        <v>0</v>
      </c>
      <c r="T6" s="4" t="s">
        <v>119</v>
      </c>
      <c r="Y6" s="4" t="s">
        <v>162</v>
      </c>
      <c r="Z6" s="4">
        <f>B6+D6+F6+H6+J6+L6+N6</f>
        <v>68950</v>
      </c>
      <c r="AA6" s="4">
        <f>(700/600000)</f>
        <v>0.0011666666666666668</v>
      </c>
      <c r="AB6" s="24">
        <f>Z6*AA6</f>
        <v>80.44166666666668</v>
      </c>
      <c r="AD6" s="4">
        <v>6</v>
      </c>
      <c r="AF6" s="30"/>
      <c r="AL6" s="4" t="s">
        <v>136</v>
      </c>
      <c r="AM6" s="4">
        <f>COUNTA(R2:R49)</f>
        <v>0</v>
      </c>
    </row>
    <row r="7" spans="1:39" ht="14.25">
      <c r="A7" s="27">
        <v>42772</v>
      </c>
      <c r="C7" s="4">
        <f>B7*AA7</f>
        <v>0</v>
      </c>
      <c r="D7" s="4">
        <v>5000</v>
      </c>
      <c r="E7" s="4">
        <f>D7*AA7</f>
        <v>5.833333333333334</v>
      </c>
      <c r="G7" s="4">
        <f>F7*AA7</f>
        <v>0</v>
      </c>
      <c r="I7" s="4">
        <f>H7*AA7</f>
        <v>0</v>
      </c>
      <c r="K7" s="4">
        <f>J7*AA7</f>
        <v>0</v>
      </c>
      <c r="L7" s="4">
        <v>10000</v>
      </c>
      <c r="M7" s="4">
        <f>L7*AA7</f>
        <v>11.666666666666668</v>
      </c>
      <c r="O7" s="4">
        <f>N7*AA7</f>
        <v>0</v>
      </c>
      <c r="T7" s="4" t="s">
        <v>119</v>
      </c>
      <c r="Y7" s="4" t="s">
        <v>162</v>
      </c>
      <c r="Z7" s="4">
        <f>B7+D7+F7+H7+J7+L7+N7</f>
        <v>15000</v>
      </c>
      <c r="AA7" s="4">
        <f>(700/600000)</f>
        <v>0.0011666666666666668</v>
      </c>
      <c r="AB7" s="24">
        <f>Z7*AA7</f>
        <v>17.5</v>
      </c>
      <c r="AD7" s="4">
        <v>6</v>
      </c>
      <c r="AI7" s="4" t="s">
        <v>138</v>
      </c>
      <c r="AL7" s="4" t="s">
        <v>109</v>
      </c>
      <c r="AM7" s="4">
        <f>COUNTA(S2:S49)</f>
        <v>0</v>
      </c>
    </row>
    <row r="8" spans="1:39" ht="14.25">
      <c r="A8" s="27">
        <v>42773</v>
      </c>
      <c r="C8" s="4">
        <f>B8*AA8</f>
        <v>0</v>
      </c>
      <c r="D8" s="4">
        <f>10500+2300</f>
        <v>12800</v>
      </c>
      <c r="E8" s="4">
        <f>D8*AA8</f>
        <v>14.933333333333335</v>
      </c>
      <c r="G8" s="4">
        <f>F8*AA8</f>
        <v>0</v>
      </c>
      <c r="I8" s="4">
        <f>H8*AA8</f>
        <v>0</v>
      </c>
      <c r="K8" s="4">
        <f>J8*AA8</f>
        <v>0</v>
      </c>
      <c r="L8" s="4">
        <v>10000</v>
      </c>
      <c r="M8" s="4">
        <f>L8*AA8</f>
        <v>11.666666666666668</v>
      </c>
      <c r="O8" s="4">
        <f>N8*AA8</f>
        <v>0</v>
      </c>
      <c r="T8" s="4" t="s">
        <v>119</v>
      </c>
      <c r="Y8" s="4" t="s">
        <v>162</v>
      </c>
      <c r="Z8" s="4">
        <f>B8+D8+F8+H8+J8+L8+N8</f>
        <v>22800</v>
      </c>
      <c r="AA8" s="4">
        <f>(700/600000)</f>
        <v>0.0011666666666666668</v>
      </c>
      <c r="AB8" s="24">
        <f>Z8*AA8</f>
        <v>26.6</v>
      </c>
      <c r="AD8" s="4">
        <v>6</v>
      </c>
      <c r="AF8" s="4" t="s">
        <v>140</v>
      </c>
      <c r="AG8" s="26">
        <f>SUM(M2:M994)</f>
        <v>278.6198333333333</v>
      </c>
      <c r="AI8" s="4" t="s">
        <v>103</v>
      </c>
      <c r="AJ8" s="26">
        <f>AG8/$AG$5</f>
        <v>9.950708333333333</v>
      </c>
      <c r="AL8" s="4" t="s">
        <v>141</v>
      </c>
      <c r="AM8" s="4">
        <f>COUNTA(Q2:Q49)</f>
        <v>0</v>
      </c>
    </row>
    <row r="9" spans="1:39" ht="14.25">
      <c r="A9" s="27">
        <v>42774</v>
      </c>
      <c r="B9" s="5"/>
      <c r="C9" s="4">
        <f>B9*AA9</f>
        <v>0</v>
      </c>
      <c r="D9" s="4">
        <f>1200+7500+5700</f>
        <v>14400</v>
      </c>
      <c r="E9" s="4">
        <f>D9*AA9</f>
        <v>16.8</v>
      </c>
      <c r="G9" s="4">
        <f>F9*AA9</f>
        <v>0</v>
      </c>
      <c r="I9" s="4">
        <f>H9*AA9</f>
        <v>0</v>
      </c>
      <c r="K9" s="4">
        <f>J9*AA9</f>
        <v>0</v>
      </c>
      <c r="L9" s="4">
        <v>10000</v>
      </c>
      <c r="M9" s="4">
        <f>L9*AA9</f>
        <v>11.666666666666668</v>
      </c>
      <c r="O9" s="4">
        <f>N9*AA9</f>
        <v>0</v>
      </c>
      <c r="T9" s="4" t="s">
        <v>119</v>
      </c>
      <c r="Y9" s="4" t="s">
        <v>162</v>
      </c>
      <c r="Z9" s="4">
        <f>B9+D9+F9+H9+J9+L9+N9</f>
        <v>24400</v>
      </c>
      <c r="AA9" s="4">
        <f>(700/600000)</f>
        <v>0.0011666666666666668</v>
      </c>
      <c r="AB9" s="24">
        <f>Z9*AA9</f>
        <v>28.46666666666667</v>
      </c>
      <c r="AD9" s="4">
        <v>6</v>
      </c>
      <c r="AF9" s="4" t="s">
        <v>143</v>
      </c>
      <c r="AG9" s="26">
        <f>SUM(C2:C994)</f>
        <v>180.45892666666668</v>
      </c>
      <c r="AI9" s="4" t="s">
        <v>93</v>
      </c>
      <c r="AJ9" s="4">
        <f>AG9/$AG$5</f>
        <v>6.444961666666667</v>
      </c>
      <c r="AL9" s="4" t="s">
        <v>144</v>
      </c>
      <c r="AM9" s="4">
        <f>COUNTA(W2:W50)</f>
        <v>0</v>
      </c>
    </row>
    <row r="10" spans="1:39" ht="14.25">
      <c r="A10" s="27">
        <v>42775</v>
      </c>
      <c r="B10" s="4">
        <v>8000</v>
      </c>
      <c r="C10" s="4">
        <f>B10*AA10</f>
        <v>9.333333333333334</v>
      </c>
      <c r="D10" s="4">
        <v>75745</v>
      </c>
      <c r="E10" s="4">
        <f>D10*AA10</f>
        <v>88.36916666666667</v>
      </c>
      <c r="G10" s="4">
        <f>F10*AA10</f>
        <v>0</v>
      </c>
      <c r="I10" s="4">
        <f>H10*AA10</f>
        <v>0</v>
      </c>
      <c r="J10" s="4">
        <f>53000+1150+15700</f>
        <v>69850</v>
      </c>
      <c r="K10" s="4">
        <f>J10*AA10</f>
        <v>81.49166666666667</v>
      </c>
      <c r="L10" s="4">
        <v>10000</v>
      </c>
      <c r="M10" s="4">
        <f>L10*AA10</f>
        <v>11.666666666666668</v>
      </c>
      <c r="O10" s="4">
        <f>N10*AA10</f>
        <v>0</v>
      </c>
      <c r="T10" s="4" t="s">
        <v>119</v>
      </c>
      <c r="Y10" s="4" t="s">
        <v>162</v>
      </c>
      <c r="Z10" s="4">
        <f>B10+D10+F10+H10+J10+L10+N10</f>
        <v>163595</v>
      </c>
      <c r="AA10" s="4">
        <f>(700/600000)</f>
        <v>0.0011666666666666668</v>
      </c>
      <c r="AB10" s="24">
        <f>Z10*AA10</f>
        <v>190.86083333333335</v>
      </c>
      <c r="AD10" s="4">
        <v>6</v>
      </c>
      <c r="AF10" s="4" t="s">
        <v>145</v>
      </c>
      <c r="AG10" s="26">
        <f>SUM(E2:E994)</f>
        <v>751.9737458333333</v>
      </c>
      <c r="AI10" s="4" t="s">
        <v>146</v>
      </c>
      <c r="AJ10" s="4">
        <f>AG10/$AG$5</f>
        <v>26.856205208333332</v>
      </c>
      <c r="AL10" s="4" t="s">
        <v>147</v>
      </c>
      <c r="AM10" s="4">
        <f>COUNTA(V2:V51)</f>
        <v>0</v>
      </c>
    </row>
    <row r="11" spans="1:39" ht="14.25">
      <c r="A11" s="27">
        <v>42776</v>
      </c>
      <c r="C11" s="4">
        <f>B11*AA11</f>
        <v>0</v>
      </c>
      <c r="E11" s="4">
        <f>D11*AA11</f>
        <v>0</v>
      </c>
      <c r="G11" s="4">
        <f>F11*AA11</f>
        <v>0</v>
      </c>
      <c r="I11" s="4">
        <f>H11*AA11</f>
        <v>0</v>
      </c>
      <c r="K11" s="4">
        <f>J11*AA11</f>
        <v>0</v>
      </c>
      <c r="L11" s="4">
        <v>10000</v>
      </c>
      <c r="M11" s="4">
        <f>L11*AA11</f>
        <v>11.666666666666668</v>
      </c>
      <c r="O11" s="4">
        <f>N11*AA11</f>
        <v>0</v>
      </c>
      <c r="T11" s="4" t="s">
        <v>119</v>
      </c>
      <c r="Y11" s="32" t="s">
        <v>162</v>
      </c>
      <c r="Z11" s="4">
        <f>B11+D11+F11+H11+J11+L11+N11</f>
        <v>10000</v>
      </c>
      <c r="AA11" s="4">
        <f>(700/600000)</f>
        <v>0.0011666666666666668</v>
      </c>
      <c r="AB11" s="24">
        <f>Z11*AA11</f>
        <v>11.666666666666668</v>
      </c>
      <c r="AD11" s="4">
        <v>6</v>
      </c>
      <c r="AF11" s="4" t="s">
        <v>149</v>
      </c>
      <c r="AG11" s="26">
        <f>SUM(G2:G994)</f>
        <v>1.734075</v>
      </c>
      <c r="AI11" s="4" t="s">
        <v>150</v>
      </c>
      <c r="AJ11" s="26">
        <f>AG11/$AG$5</f>
        <v>0.06193125</v>
      </c>
      <c r="AL11" s="4" t="s">
        <v>110</v>
      </c>
      <c r="AM11" s="4">
        <f>COUNTA(T2:T52)</f>
        <v>28</v>
      </c>
    </row>
    <row r="12" spans="1:36" ht="14.25">
      <c r="A12" s="27">
        <v>42777</v>
      </c>
      <c r="B12" s="4">
        <v>8000</v>
      </c>
      <c r="C12" s="4">
        <f>B12*AA12</f>
        <v>9.333333333333334</v>
      </c>
      <c r="D12" s="4">
        <f>55000+1900</f>
        <v>56900</v>
      </c>
      <c r="E12" s="4">
        <f>D12*AA12</f>
        <v>66.38333333333334</v>
      </c>
      <c r="G12" s="4">
        <f>F12*AA12</f>
        <v>0</v>
      </c>
      <c r="I12" s="4">
        <f>H12*AA12</f>
        <v>0</v>
      </c>
      <c r="K12" s="4">
        <f>J12*AA12</f>
        <v>0</v>
      </c>
      <c r="L12" s="4">
        <v>10000</v>
      </c>
      <c r="M12" s="4">
        <f>L12*AA12</f>
        <v>11.666666666666668</v>
      </c>
      <c r="O12" s="4">
        <f>N12*AA12</f>
        <v>0</v>
      </c>
      <c r="T12" s="4" t="s">
        <v>119</v>
      </c>
      <c r="Y12" s="32" t="s">
        <v>162</v>
      </c>
      <c r="Z12" s="4">
        <f>B12+D12+F12+H12+J12+L12+N12</f>
        <v>74900</v>
      </c>
      <c r="AA12" s="4">
        <f>(700/600000)</f>
        <v>0.0011666666666666668</v>
      </c>
      <c r="AB12" s="24">
        <f>Z12*AA12</f>
        <v>87.38333333333334</v>
      </c>
      <c r="AD12" s="4">
        <v>6</v>
      </c>
      <c r="AF12" s="4" t="s">
        <v>151</v>
      </c>
      <c r="AG12" s="26">
        <f>SUM(K2:K994)</f>
        <v>272.8179416666667</v>
      </c>
      <c r="AI12" s="4" t="s">
        <v>101</v>
      </c>
      <c r="AJ12" s="26">
        <f>AG12/$AG$5</f>
        <v>9.743497916666668</v>
      </c>
    </row>
    <row r="13" spans="1:36" ht="14.25">
      <c r="A13" s="27">
        <v>42778</v>
      </c>
      <c r="B13" s="5"/>
      <c r="C13" s="4">
        <f>B13*AA13</f>
        <v>0</v>
      </c>
      <c r="D13" s="4">
        <f>7200+7700+1300</f>
        <v>16200</v>
      </c>
      <c r="E13" s="4">
        <f>D13*AA13</f>
        <v>18.72801</v>
      </c>
      <c r="F13" s="4">
        <v>1500</v>
      </c>
      <c r="G13" s="4">
        <f>F13*AA13</f>
        <v>1.734075</v>
      </c>
      <c r="I13" s="4">
        <f>H13*AA13</f>
        <v>0</v>
      </c>
      <c r="K13" s="4">
        <f>J13*AA13</f>
        <v>0</v>
      </c>
      <c r="L13" s="4">
        <v>10000</v>
      </c>
      <c r="M13" s="4">
        <f>L13*AA13</f>
        <v>11.560500000000001</v>
      </c>
      <c r="O13" s="4">
        <f>N13*AA13</f>
        <v>0</v>
      </c>
      <c r="T13" s="4" t="s">
        <v>119</v>
      </c>
      <c r="Y13" s="32" t="s">
        <v>162</v>
      </c>
      <c r="Z13" s="4">
        <f>B13+D13+F13+H13+J13+L13+N13</f>
        <v>27700</v>
      </c>
      <c r="AA13" s="4">
        <f>(693.63/600000)</f>
        <v>0.00115605</v>
      </c>
      <c r="AB13" s="24">
        <f>Z13*AA13</f>
        <v>32.022585</v>
      </c>
      <c r="AD13" s="4">
        <v>6</v>
      </c>
      <c r="AF13" s="4" t="s">
        <v>153</v>
      </c>
      <c r="AG13" s="4">
        <f>SUM(I2:I994)</f>
        <v>0</v>
      </c>
      <c r="AI13" s="4" t="s">
        <v>99</v>
      </c>
      <c r="AJ13" s="26">
        <f>AG13/$AG$5</f>
        <v>0</v>
      </c>
    </row>
    <row r="14" spans="1:33" ht="14.25">
      <c r="A14" s="27">
        <v>42779</v>
      </c>
      <c r="C14" s="4">
        <f>B14*AA14</f>
        <v>0</v>
      </c>
      <c r="D14" s="4">
        <f>7300+2000+4000</f>
        <v>13300</v>
      </c>
      <c r="E14" s="4">
        <f>D14*AA14</f>
        <v>15.375465</v>
      </c>
      <c r="G14" s="4">
        <f>F14*AA14</f>
        <v>0</v>
      </c>
      <c r="I14" s="4">
        <f>H14*AA14</f>
        <v>0</v>
      </c>
      <c r="K14" s="4">
        <f>J14*AA14</f>
        <v>0</v>
      </c>
      <c r="L14" s="4">
        <v>10000</v>
      </c>
      <c r="M14" s="4">
        <f>L14*AA14</f>
        <v>11.560500000000001</v>
      </c>
      <c r="O14" s="4">
        <f>N14*AA14</f>
        <v>0</v>
      </c>
      <c r="T14" s="4" t="s">
        <v>119</v>
      </c>
      <c r="Y14" s="32" t="s">
        <v>162</v>
      </c>
      <c r="Z14" s="4">
        <f>B14+D14+F14+H14+J14+L14+N14</f>
        <v>23300</v>
      </c>
      <c r="AA14" s="4">
        <f>(693.63/600000)</f>
        <v>0.00115605</v>
      </c>
      <c r="AB14" s="24">
        <f>Z14*AA14</f>
        <v>26.935965</v>
      </c>
      <c r="AD14" s="4">
        <v>6</v>
      </c>
      <c r="AF14" s="4" t="s">
        <v>163</v>
      </c>
      <c r="AG14" s="26">
        <f>SUM(O2:O994)</f>
        <v>0</v>
      </c>
    </row>
    <row r="15" spans="1:33" ht="14.25">
      <c r="A15" s="27">
        <v>42780</v>
      </c>
      <c r="B15" s="4">
        <v>8000</v>
      </c>
      <c r="C15" s="4">
        <f>B15*AA15</f>
        <v>9.2484</v>
      </c>
      <c r="D15" s="4">
        <v>50000</v>
      </c>
      <c r="E15" s="4">
        <f>D15*AA15</f>
        <v>57.8025</v>
      </c>
      <c r="G15" s="4">
        <f>F15*AA15</f>
        <v>0</v>
      </c>
      <c r="I15" s="4">
        <f>H15*AA15</f>
        <v>0</v>
      </c>
      <c r="K15" s="4">
        <f>J15*AA15</f>
        <v>0</v>
      </c>
      <c r="L15" s="4">
        <v>10000</v>
      </c>
      <c r="M15" s="4">
        <f>L15*AA15</f>
        <v>11.560500000000001</v>
      </c>
      <c r="O15" s="4">
        <f>N15*AA15</f>
        <v>0</v>
      </c>
      <c r="T15" s="4" t="s">
        <v>119</v>
      </c>
      <c r="Y15" s="32" t="s">
        <v>162</v>
      </c>
      <c r="Z15" s="4">
        <f>B15+D15+F15+H15+J15+L15+N15</f>
        <v>68000</v>
      </c>
      <c r="AA15" s="4">
        <f>(693.63/600000)</f>
        <v>0.00115605</v>
      </c>
      <c r="AB15" s="24">
        <f>Z15*AA15</f>
        <v>78.6114</v>
      </c>
      <c r="AD15" s="4">
        <v>6</v>
      </c>
      <c r="AF15" s="30"/>
      <c r="AG15" s="30"/>
    </row>
    <row r="16" spans="1:32" ht="14.25">
      <c r="A16" s="27">
        <v>42781</v>
      </c>
      <c r="C16" s="4">
        <f>B16*AA16</f>
        <v>0</v>
      </c>
      <c r="D16" s="4">
        <v>14600</v>
      </c>
      <c r="E16" s="4">
        <f>D16*AA16</f>
        <v>16.878330000000002</v>
      </c>
      <c r="G16" s="4">
        <f>F16*AA16</f>
        <v>0</v>
      </c>
      <c r="I16" s="4">
        <f>H16*AA16</f>
        <v>0</v>
      </c>
      <c r="J16" s="4">
        <v>10000</v>
      </c>
      <c r="K16" s="4">
        <f>J16*AA16</f>
        <v>11.560500000000001</v>
      </c>
      <c r="L16" s="4">
        <v>10000</v>
      </c>
      <c r="M16" s="4">
        <f>L16*AA16</f>
        <v>11.560500000000001</v>
      </c>
      <c r="O16" s="4">
        <f>N16*AA16</f>
        <v>0</v>
      </c>
      <c r="T16" s="4" t="s">
        <v>119</v>
      </c>
      <c r="Y16" s="32" t="s">
        <v>162</v>
      </c>
      <c r="Z16" s="4">
        <f>B16+D16+F16+H16+J16+L16+N16</f>
        <v>34600</v>
      </c>
      <c r="AA16" s="4">
        <f>(693.63/600000)</f>
        <v>0.00115605</v>
      </c>
      <c r="AB16" s="24">
        <f>Z16*AA16</f>
        <v>39.99933</v>
      </c>
      <c r="AD16" s="4">
        <v>6</v>
      </c>
      <c r="AF16" s="30"/>
    </row>
    <row r="17" spans="1:30" ht="14.25">
      <c r="A17" s="27">
        <v>42782</v>
      </c>
      <c r="B17" s="4">
        <v>8000</v>
      </c>
      <c r="C17" s="4">
        <f>B17*AA17</f>
        <v>9.2484</v>
      </c>
      <c r="D17" s="4">
        <v>11100</v>
      </c>
      <c r="E17" s="4">
        <f>D17*AA17</f>
        <v>12.832155</v>
      </c>
      <c r="G17" s="4">
        <f>F17*AA17</f>
        <v>0</v>
      </c>
      <c r="I17" s="4">
        <f>H17*AA17</f>
        <v>0</v>
      </c>
      <c r="J17" s="4">
        <v>30000</v>
      </c>
      <c r="K17" s="4">
        <f>J17*AA17</f>
        <v>34.6815</v>
      </c>
      <c r="L17" s="4">
        <v>10000</v>
      </c>
      <c r="M17" s="4">
        <f>L17*AA17</f>
        <v>11.560500000000001</v>
      </c>
      <c r="O17" s="4">
        <f>N17*AA17</f>
        <v>0</v>
      </c>
      <c r="T17" s="4" t="s">
        <v>119</v>
      </c>
      <c r="Y17" s="32" t="s">
        <v>162</v>
      </c>
      <c r="Z17" s="4">
        <f>B17+D17+F17+H17+J17+L17+N17</f>
        <v>59100</v>
      </c>
      <c r="AA17" s="4">
        <f>(693.63/600000)</f>
        <v>0.00115605</v>
      </c>
      <c r="AB17" s="24">
        <f>Z17*AA17</f>
        <v>68.32255500000001</v>
      </c>
      <c r="AD17" s="4">
        <v>6</v>
      </c>
    </row>
    <row r="18" spans="1:30" ht="14.25">
      <c r="A18" s="27">
        <v>42783</v>
      </c>
      <c r="C18" s="4">
        <f>B18*AA18</f>
        <v>0</v>
      </c>
      <c r="D18" s="4">
        <f>1800+9150+3000</f>
        <v>13950</v>
      </c>
      <c r="E18" s="4">
        <f>D18*AA18</f>
        <v>16.126897500000002</v>
      </c>
      <c r="G18" s="4">
        <f>F18*AA18</f>
        <v>0</v>
      </c>
      <c r="I18" s="4">
        <f>H18*AA18</f>
        <v>0</v>
      </c>
      <c r="J18" s="4">
        <f>9000+1000</f>
        <v>10000</v>
      </c>
      <c r="K18" s="4">
        <f>J18*AA18</f>
        <v>11.560500000000001</v>
      </c>
      <c r="L18" s="4">
        <v>10000</v>
      </c>
      <c r="M18" s="4">
        <f>L18*AA18</f>
        <v>11.560500000000001</v>
      </c>
      <c r="O18" s="4">
        <f>N18*AA18</f>
        <v>0</v>
      </c>
      <c r="T18" s="4" t="s">
        <v>119</v>
      </c>
      <c r="Y18" s="32" t="s">
        <v>162</v>
      </c>
      <c r="Z18" s="4">
        <f>B18+D18+F18+H18+J18+L18+N18</f>
        <v>33950</v>
      </c>
      <c r="AA18" s="4">
        <f>(693.63/600000)</f>
        <v>0.00115605</v>
      </c>
      <c r="AB18" s="24">
        <f>Z18*AA18</f>
        <v>39.2478975</v>
      </c>
      <c r="AD18" s="4">
        <v>6</v>
      </c>
    </row>
    <row r="19" spans="1:30" ht="14.25">
      <c r="A19" s="27">
        <v>42784</v>
      </c>
      <c r="B19" s="4">
        <v>3000</v>
      </c>
      <c r="C19" s="4">
        <f>B19*AA19</f>
        <v>3.46815</v>
      </c>
      <c r="D19" s="4">
        <v>38050</v>
      </c>
      <c r="E19" s="4">
        <f>D19*AA19</f>
        <v>43.987702500000005</v>
      </c>
      <c r="G19" s="4">
        <f>F19*AA19</f>
        <v>0</v>
      </c>
      <c r="I19" s="4">
        <f>H19*AA19</f>
        <v>0</v>
      </c>
      <c r="K19" s="4">
        <f>J19*AA19</f>
        <v>0</v>
      </c>
      <c r="L19" s="4">
        <v>10000</v>
      </c>
      <c r="M19" s="4">
        <f>L19*AA19</f>
        <v>11.560500000000001</v>
      </c>
      <c r="O19" s="4">
        <f>N19*AA19</f>
        <v>0</v>
      </c>
      <c r="T19" s="4" t="s">
        <v>119</v>
      </c>
      <c r="Y19" s="32" t="s">
        <v>162</v>
      </c>
      <c r="Z19" s="4">
        <f>B19+D19+F19+H19+J19+L19+N19</f>
        <v>51050</v>
      </c>
      <c r="AA19" s="4">
        <f>(693.63/600000)</f>
        <v>0.00115605</v>
      </c>
      <c r="AB19" s="24">
        <f>Z19*AA19</f>
        <v>59.0163525</v>
      </c>
      <c r="AD19" s="4">
        <v>6</v>
      </c>
    </row>
    <row r="20" spans="1:30" ht="14.25">
      <c r="A20" s="27">
        <v>42785</v>
      </c>
      <c r="C20" s="4">
        <f>B20*AA20</f>
        <v>0</v>
      </c>
      <c r="E20" s="4">
        <f>D20*AA20</f>
        <v>0</v>
      </c>
      <c r="G20" s="4">
        <f>F20*AA20</f>
        <v>0</v>
      </c>
      <c r="I20" s="4">
        <f>H20*AA20</f>
        <v>0</v>
      </c>
      <c r="J20" s="4">
        <f>13000+20000</f>
        <v>33000</v>
      </c>
      <c r="K20" s="4">
        <f>J20*AA20</f>
        <v>38.14965</v>
      </c>
      <c r="L20" s="4">
        <v>10000</v>
      </c>
      <c r="M20" s="4">
        <f>L20*AA20</f>
        <v>11.560500000000001</v>
      </c>
      <c r="O20" s="4">
        <f>N20*AA20</f>
        <v>0</v>
      </c>
      <c r="T20" s="4" t="s">
        <v>119</v>
      </c>
      <c r="Y20" s="32" t="s">
        <v>162</v>
      </c>
      <c r="Z20" s="4">
        <f>B20+D20+F20+H20+J20+L20+N20</f>
        <v>43000</v>
      </c>
      <c r="AA20" s="4">
        <f>(693.63/600000)</f>
        <v>0.00115605</v>
      </c>
      <c r="AB20" s="24">
        <f>Z20*AA20</f>
        <v>49.71015</v>
      </c>
      <c r="AD20" s="4">
        <v>6</v>
      </c>
    </row>
    <row r="21" spans="1:30" ht="14.25">
      <c r="A21" s="27">
        <v>42786</v>
      </c>
      <c r="C21" s="4">
        <f>B21*AA21</f>
        <v>0</v>
      </c>
      <c r="D21" s="4">
        <f>4000+3900+2300</f>
        <v>10200</v>
      </c>
      <c r="E21" s="4">
        <f>D21*AA21</f>
        <v>11.79171</v>
      </c>
      <c r="G21" s="4">
        <f>F21*AA21</f>
        <v>0</v>
      </c>
      <c r="I21" s="4">
        <f>H21*AA21</f>
        <v>0</v>
      </c>
      <c r="K21" s="4">
        <f>J21*AA21</f>
        <v>0</v>
      </c>
      <c r="L21" s="4">
        <v>10000</v>
      </c>
      <c r="M21" s="4">
        <f>L21*AA21</f>
        <v>11.560500000000001</v>
      </c>
      <c r="O21" s="4">
        <f>N21*AA21</f>
        <v>0</v>
      </c>
      <c r="T21" s="4" t="s">
        <v>119</v>
      </c>
      <c r="Y21" s="32" t="s">
        <v>162</v>
      </c>
      <c r="Z21" s="4">
        <f>B21+D21+F21+H21+J21+L21+N21</f>
        <v>20200</v>
      </c>
      <c r="AA21" s="4">
        <f>(693.63/600000)</f>
        <v>0.00115605</v>
      </c>
      <c r="AB21" s="24">
        <f>Z21*AA21</f>
        <v>23.35221</v>
      </c>
      <c r="AD21" s="4">
        <v>6</v>
      </c>
    </row>
    <row r="22" spans="1:30" ht="14.25">
      <c r="A22" s="27">
        <v>42787</v>
      </c>
      <c r="C22" s="4">
        <f>B22*AA22</f>
        <v>0</v>
      </c>
      <c r="D22" s="4">
        <f>6000+1200+2000+2300</f>
        <v>11500</v>
      </c>
      <c r="E22" s="4">
        <f>D22*AA22</f>
        <v>13.294575</v>
      </c>
      <c r="G22" s="4">
        <f>F22*AA22</f>
        <v>0</v>
      </c>
      <c r="I22" s="4">
        <f>H22*AA22</f>
        <v>0</v>
      </c>
      <c r="J22" s="4">
        <v>51000</v>
      </c>
      <c r="K22" s="4">
        <f>J22*AA22</f>
        <v>58.95855</v>
      </c>
      <c r="L22" s="4">
        <v>10000</v>
      </c>
      <c r="M22" s="4">
        <f>L22*AA22</f>
        <v>11.560500000000001</v>
      </c>
      <c r="O22" s="4">
        <f>N22*AA22</f>
        <v>0</v>
      </c>
      <c r="T22" s="4" t="s">
        <v>119</v>
      </c>
      <c r="Y22" s="32" t="s">
        <v>162</v>
      </c>
      <c r="Z22" s="4">
        <f>B22+D22+F22+H22+J22+L22+N22</f>
        <v>72500</v>
      </c>
      <c r="AA22" s="4">
        <f>(693.63/600000)</f>
        <v>0.00115605</v>
      </c>
      <c r="AB22" s="24">
        <f>Z22*AA22</f>
        <v>83.813625</v>
      </c>
      <c r="AD22" s="4">
        <v>6</v>
      </c>
    </row>
    <row r="23" spans="1:30" ht="14.25">
      <c r="A23" s="27">
        <v>42788</v>
      </c>
      <c r="B23" s="4">
        <v>8000</v>
      </c>
      <c r="C23" s="4">
        <f>B23*AA23</f>
        <v>9.2484</v>
      </c>
      <c r="D23" s="4">
        <f>30400+4000</f>
        <v>34400</v>
      </c>
      <c r="E23" s="4">
        <f>D23*AA23</f>
        <v>39.76812</v>
      </c>
      <c r="G23" s="4">
        <f>F23*AA23</f>
        <v>0</v>
      </c>
      <c r="I23" s="4">
        <f>H23*AA23</f>
        <v>0</v>
      </c>
      <c r="J23" s="4">
        <v>5000</v>
      </c>
      <c r="K23" s="4">
        <f>J23*AA23</f>
        <v>5.7802500000000006</v>
      </c>
      <c r="L23" s="4">
        <v>10000</v>
      </c>
      <c r="M23" s="4">
        <f>L23*AA23</f>
        <v>11.560500000000001</v>
      </c>
      <c r="O23" s="4">
        <f>N23*AA23</f>
        <v>0</v>
      </c>
      <c r="T23" s="4" t="s">
        <v>119</v>
      </c>
      <c r="Y23" s="32" t="s">
        <v>162</v>
      </c>
      <c r="Z23" s="4">
        <f>B23+D23+F23+H23+J23+L23+N23</f>
        <v>57400</v>
      </c>
      <c r="AA23" s="4">
        <f>(693.63/600000)</f>
        <v>0.00115605</v>
      </c>
      <c r="AB23" s="24">
        <f>Z23*AA23</f>
        <v>66.35727</v>
      </c>
      <c r="AD23" s="4">
        <v>6</v>
      </c>
    </row>
    <row r="24" spans="1:30" ht="14.25">
      <c r="A24" s="27">
        <v>42789</v>
      </c>
      <c r="C24" s="4">
        <f>B24*AA24</f>
        <v>0</v>
      </c>
      <c r="D24" s="4">
        <f>5850+1000</f>
        <v>6850</v>
      </c>
      <c r="E24" s="4">
        <f>D24*AA24</f>
        <v>7.9189425</v>
      </c>
      <c r="G24" s="4">
        <f>F24*AA24</f>
        <v>0</v>
      </c>
      <c r="I24" s="4">
        <f>H24*AA24</f>
        <v>0</v>
      </c>
      <c r="J24" s="4">
        <v>50000</v>
      </c>
      <c r="K24" s="4">
        <f>J24*AA24</f>
        <v>57.8025</v>
      </c>
      <c r="L24" s="4">
        <v>10000</v>
      </c>
      <c r="M24" s="4">
        <f>L24*AA24</f>
        <v>11.560500000000001</v>
      </c>
      <c r="O24" s="4">
        <f>N24*AA24</f>
        <v>0</v>
      </c>
      <c r="T24" s="4" t="s">
        <v>119</v>
      </c>
      <c r="Y24" s="32" t="s">
        <v>162</v>
      </c>
      <c r="Z24" s="4">
        <f>B24+D24+F24+H24+J24+L24+N24</f>
        <v>66850</v>
      </c>
      <c r="AA24" s="4">
        <f>(693.63/600000)</f>
        <v>0.00115605</v>
      </c>
      <c r="AB24" s="24">
        <f>Z24*AA24</f>
        <v>77.2819425</v>
      </c>
      <c r="AD24" s="4">
        <v>6</v>
      </c>
    </row>
    <row r="25" spans="1:30" ht="14.25">
      <c r="A25" s="27">
        <v>42790</v>
      </c>
      <c r="B25" s="4">
        <v>8000</v>
      </c>
      <c r="C25" s="4">
        <f>B25*AA25</f>
        <v>9.2484</v>
      </c>
      <c r="D25" s="4">
        <f>2600+2400+8000+31500</f>
        <v>44500</v>
      </c>
      <c r="E25" s="4">
        <f>D25*AA25</f>
        <v>51.444225</v>
      </c>
      <c r="G25" s="4">
        <f>F25*AA25</f>
        <v>0</v>
      </c>
      <c r="I25" s="4">
        <f>H25*AA25</f>
        <v>0</v>
      </c>
      <c r="J25" s="4">
        <f>4000+2500</f>
        <v>6500</v>
      </c>
      <c r="K25" s="4">
        <f>J25*AA25</f>
        <v>7.514325</v>
      </c>
      <c r="L25" s="4">
        <v>10000</v>
      </c>
      <c r="M25" s="4">
        <f>L25*AA25</f>
        <v>11.560500000000001</v>
      </c>
      <c r="O25" s="4">
        <f>N25*AA25</f>
        <v>0</v>
      </c>
      <c r="T25" s="4" t="s">
        <v>119</v>
      </c>
      <c r="Y25" s="32" t="s">
        <v>162</v>
      </c>
      <c r="Z25" s="4">
        <f>B25+D25+F25+H25+J25+L25+N25</f>
        <v>69000</v>
      </c>
      <c r="AA25" s="4">
        <f>(693.63/600000)</f>
        <v>0.00115605</v>
      </c>
      <c r="AB25" s="24">
        <f>Z25*AA25</f>
        <v>79.76745</v>
      </c>
      <c r="AD25" s="4">
        <v>6</v>
      </c>
    </row>
    <row r="26" spans="1:30" ht="14.25">
      <c r="A26" s="27">
        <v>42791</v>
      </c>
      <c r="B26" s="4">
        <f>3000+4000+24000+3000+4000+20000+4200+4000</f>
        <v>66200</v>
      </c>
      <c r="C26" s="4">
        <f>B26*AA26</f>
        <v>76.53051</v>
      </c>
      <c r="D26" s="4">
        <v>17500</v>
      </c>
      <c r="E26" s="4">
        <f>D26*AA26</f>
        <v>20.230875</v>
      </c>
      <c r="G26" s="4">
        <f>F26*AA26</f>
        <v>0</v>
      </c>
      <c r="I26" s="4">
        <f>H26*AA26</f>
        <v>0</v>
      </c>
      <c r="J26" s="4">
        <f>5000+2000+1000+1000+1000</f>
        <v>10000</v>
      </c>
      <c r="K26" s="4">
        <f>J26*AA26</f>
        <v>11.560500000000001</v>
      </c>
      <c r="M26" s="4">
        <f>L26*AA26</f>
        <v>0</v>
      </c>
      <c r="O26" s="4">
        <f>N26*AA26</f>
        <v>0</v>
      </c>
      <c r="T26" s="4" t="s">
        <v>119</v>
      </c>
      <c r="Y26" s="4" t="s">
        <v>162</v>
      </c>
      <c r="Z26" s="4">
        <f>B26+D26+F26+H26+J26+L26+N26</f>
        <v>93700</v>
      </c>
      <c r="AA26" s="4">
        <f>(693.63/600000)</f>
        <v>0.00115605</v>
      </c>
      <c r="AB26" s="24">
        <f>Z26*AA26</f>
        <v>108.32188500000001</v>
      </c>
      <c r="AD26" s="4">
        <v>6</v>
      </c>
    </row>
    <row r="27" spans="1:30" ht="12.75">
      <c r="A27" s="27">
        <v>42792</v>
      </c>
      <c r="C27" s="4">
        <f>B27*AA27</f>
        <v>0</v>
      </c>
      <c r="D27" s="4">
        <f>7000+3300+2600</f>
        <v>12900</v>
      </c>
      <c r="E27" s="4">
        <f>D27*AA27</f>
        <v>14.913045</v>
      </c>
      <c r="G27" s="4">
        <f>F27*AA27</f>
        <v>0</v>
      </c>
      <c r="I27" s="4">
        <f>H27*AA27</f>
        <v>0</v>
      </c>
      <c r="J27" s="4">
        <v>10000</v>
      </c>
      <c r="K27" s="4">
        <f>J27*AA27</f>
        <v>11.560500000000001</v>
      </c>
      <c r="M27" s="4">
        <f>L27*AA27</f>
        <v>0</v>
      </c>
      <c r="O27" s="4">
        <f>N27*AA27</f>
        <v>0</v>
      </c>
      <c r="T27" s="4" t="s">
        <v>119</v>
      </c>
      <c r="Y27" s="4" t="s">
        <v>162</v>
      </c>
      <c r="Z27" s="4">
        <f>B27+D27+F27+H27+J27+L27+N27</f>
        <v>22900</v>
      </c>
      <c r="AA27" s="4">
        <f>(693.63/600000)</f>
        <v>0.00115605</v>
      </c>
      <c r="AB27" s="24">
        <f>Z27*AA27</f>
        <v>26.473545</v>
      </c>
      <c r="AD27" s="4">
        <v>6</v>
      </c>
    </row>
    <row r="28" spans="1:30" ht="12.75">
      <c r="A28" s="27">
        <v>42793</v>
      </c>
      <c r="C28" s="4">
        <f>B28*AA28</f>
        <v>0</v>
      </c>
      <c r="D28" s="4">
        <f>12400+8800+2000</f>
        <v>23200</v>
      </c>
      <c r="E28" s="4">
        <f>D28*AA28</f>
        <v>26.82036</v>
      </c>
      <c r="G28" s="4">
        <f>F28*AA28</f>
        <v>0</v>
      </c>
      <c r="I28" s="4">
        <f>H28*AA28</f>
        <v>0</v>
      </c>
      <c r="J28" s="4">
        <v>-50000</v>
      </c>
      <c r="K28" s="4">
        <f>J28*AA28</f>
        <v>-57.8025</v>
      </c>
      <c r="M28" s="4">
        <f>L28*AA28</f>
        <v>0</v>
      </c>
      <c r="O28" s="4">
        <f>N28*AA28</f>
        <v>0</v>
      </c>
      <c r="T28" s="4" t="s">
        <v>119</v>
      </c>
      <c r="Y28" s="4" t="s">
        <v>162</v>
      </c>
      <c r="Z28" s="4">
        <f>B28+D28+F28+H28+J28+L28+N28</f>
        <v>-26800</v>
      </c>
      <c r="AA28" s="4">
        <f>(693.63/600000)</f>
        <v>0.00115605</v>
      </c>
      <c r="AB28" s="24">
        <f>Z28*AA28</f>
        <v>-30.98214</v>
      </c>
      <c r="AD28" s="4">
        <v>6</v>
      </c>
    </row>
    <row r="29" spans="1:30" ht="12.75">
      <c r="A29" s="27">
        <v>42794</v>
      </c>
      <c r="C29" s="4">
        <f>B29*AA29</f>
        <v>0</v>
      </c>
      <c r="E29" s="4">
        <f>D29*AA29</f>
        <v>0</v>
      </c>
      <c r="G29" s="4">
        <f>F29*AA29</f>
        <v>0</v>
      </c>
      <c r="I29" s="4">
        <f>H29*AA29</f>
        <v>0</v>
      </c>
      <c r="K29" s="4">
        <f>J29*AA29</f>
        <v>0</v>
      </c>
      <c r="M29" s="4">
        <f>L29*AA29</f>
        <v>0</v>
      </c>
      <c r="O29" s="4">
        <f>N29*AA29</f>
        <v>0</v>
      </c>
      <c r="T29" s="4" t="s">
        <v>119</v>
      </c>
      <c r="Z29" s="4">
        <f>B29+D29+F29+H29+J29+L29+N29</f>
        <v>0</v>
      </c>
      <c r="AA29" s="4">
        <f>(693.63/600000)</f>
        <v>0.00115605</v>
      </c>
      <c r="AB29" s="24">
        <f>Z29*AA29</f>
        <v>0</v>
      </c>
      <c r="AD29" s="4">
        <v>6</v>
      </c>
    </row>
    <row r="30" spans="1:30" ht="12.75">
      <c r="A30" s="27"/>
      <c r="C30" s="4">
        <f>B30*AA30</f>
        <v>0</v>
      </c>
      <c r="E30" s="4">
        <f>D30*AA30</f>
        <v>0</v>
      </c>
      <c r="G30" s="4">
        <f>F30*AA30</f>
        <v>0</v>
      </c>
      <c r="I30" s="4">
        <f>H30*AA30</f>
        <v>0</v>
      </c>
      <c r="K30" s="4">
        <f>J30*AA30</f>
        <v>0</v>
      </c>
      <c r="M30" s="4">
        <f>L30*AA30</f>
        <v>0</v>
      </c>
      <c r="O30" s="4">
        <f>N30*AA30</f>
        <v>0</v>
      </c>
      <c r="Z30" s="4">
        <f>B30+D30+F30+H30+J30+L30+N30</f>
        <v>0</v>
      </c>
      <c r="AA30" s="4">
        <f>(693.63/600000)</f>
        <v>0.00115605</v>
      </c>
      <c r="AB30" s="24">
        <f>Z30*AA30</f>
        <v>0</v>
      </c>
      <c r="AD30" s="4">
        <v>6</v>
      </c>
    </row>
    <row r="31" spans="1:30" ht="12.75">
      <c r="A31" s="27"/>
      <c r="C31" s="4">
        <f>B31*AA31</f>
        <v>0</v>
      </c>
      <c r="E31" s="4">
        <f>D31*AA31</f>
        <v>0</v>
      </c>
      <c r="G31" s="4">
        <f>F31*AA31</f>
        <v>0</v>
      </c>
      <c r="I31" s="4">
        <f>H31*AA31</f>
        <v>0</v>
      </c>
      <c r="K31" s="4">
        <f>J31*AA31</f>
        <v>0</v>
      </c>
      <c r="M31" s="4">
        <f>L31*AA31</f>
        <v>0</v>
      </c>
      <c r="O31" s="4">
        <f>N31*AA31</f>
        <v>0</v>
      </c>
      <c r="Z31" s="4">
        <f>B31+D31+F31+H31+J31+L31+N31</f>
        <v>0</v>
      </c>
      <c r="AA31" s="4">
        <f>(693.63/600000)</f>
        <v>0.00115605</v>
      </c>
      <c r="AB31" s="24">
        <f>Z31*AA31</f>
        <v>0</v>
      </c>
      <c r="AD31" s="4">
        <v>6</v>
      </c>
    </row>
    <row r="32" spans="1:30" ht="12.75">
      <c r="A32" s="27"/>
      <c r="C32" s="4">
        <f>B32*AA32</f>
        <v>0</v>
      </c>
      <c r="E32" s="4">
        <f>D32*AA32</f>
        <v>0</v>
      </c>
      <c r="G32" s="4">
        <f>F32*AA32</f>
        <v>0</v>
      </c>
      <c r="I32" s="4">
        <f>H32*AA32</f>
        <v>0</v>
      </c>
      <c r="K32" s="4">
        <f>J32*AA32</f>
        <v>0</v>
      </c>
      <c r="M32" s="4">
        <f>L32*AA32</f>
        <v>0</v>
      </c>
      <c r="O32" s="4">
        <f>N32*AA32</f>
        <v>0</v>
      </c>
      <c r="Z32" s="4">
        <f>B32+D32+F32+H32+J32+L32+N32</f>
        <v>0</v>
      </c>
      <c r="AA32" s="4">
        <f>(693.63/600000)</f>
        <v>0.00115605</v>
      </c>
      <c r="AB32" s="24">
        <f>Z32*AA32</f>
        <v>0</v>
      </c>
      <c r="AD32" s="4">
        <v>6</v>
      </c>
    </row>
    <row r="33" spans="1:30" ht="12.75">
      <c r="A33" s="25"/>
      <c r="C33" s="4">
        <f>B33*AA33</f>
        <v>0</v>
      </c>
      <c r="E33" s="4">
        <f>D33*AA33</f>
        <v>0</v>
      </c>
      <c r="G33" s="4">
        <f>F33*AA33</f>
        <v>0</v>
      </c>
      <c r="I33" s="4">
        <f>H33*AA33</f>
        <v>0</v>
      </c>
      <c r="K33" s="4">
        <f>J33*AA33</f>
        <v>0</v>
      </c>
      <c r="M33" s="4">
        <f>L33*AA33</f>
        <v>0</v>
      </c>
      <c r="O33" s="4">
        <f>N33*AA33</f>
        <v>0</v>
      </c>
      <c r="Z33" s="4">
        <f>B33+D33+F33+H33+J33+L33+N33</f>
        <v>0</v>
      </c>
      <c r="AA33" s="4">
        <f>(693.63/600000)</f>
        <v>0.00115605</v>
      </c>
      <c r="AB33" s="24">
        <f>Z33*AA33</f>
        <v>0</v>
      </c>
      <c r="AD33" s="4">
        <v>6</v>
      </c>
    </row>
    <row r="34" spans="3:28" ht="12.75">
      <c r="C34" s="4">
        <f>B34*AA34</f>
        <v>0</v>
      </c>
      <c r="E34" s="4">
        <f>D34*AA34</f>
        <v>0</v>
      </c>
      <c r="G34" s="4">
        <f>F34*AA34</f>
        <v>0</v>
      </c>
      <c r="I34" s="4">
        <f>H34*AA34</f>
        <v>0</v>
      </c>
      <c r="K34" s="4">
        <f>J34*AA34</f>
        <v>0</v>
      </c>
      <c r="M34" s="4">
        <f>L34*AA34</f>
        <v>0</v>
      </c>
      <c r="O34" s="4">
        <f>N34*AA34</f>
        <v>0</v>
      </c>
      <c r="Z34" s="4">
        <f>B34+D34+F34+H34+J34+L34+N34</f>
        <v>0</v>
      </c>
      <c r="AA34" s="4">
        <f>(693.63/600000)</f>
        <v>0.00115605</v>
      </c>
      <c r="AB34" s="24">
        <f>Z34*AA34</f>
        <v>0</v>
      </c>
    </row>
    <row r="35" spans="3:28" ht="12.75">
      <c r="C35" s="4">
        <f>B35*AA35</f>
        <v>0</v>
      </c>
      <c r="E35" s="4">
        <f>D35*AA35</f>
        <v>0</v>
      </c>
      <c r="G35" s="4">
        <f>F35*AA35</f>
        <v>0</v>
      </c>
      <c r="I35" s="4">
        <f>H35*AA35</f>
        <v>0</v>
      </c>
      <c r="K35" s="4">
        <f>J35*AA35</f>
        <v>0</v>
      </c>
      <c r="M35" s="4">
        <f>L35*AA35</f>
        <v>0</v>
      </c>
      <c r="O35" s="4">
        <f>N35*AA35</f>
        <v>0</v>
      </c>
      <c r="Z35" s="4">
        <f>B35+D35+F35+H35+J35+L35+N35</f>
        <v>0</v>
      </c>
      <c r="AA35" s="4">
        <f>(693.63/600000)</f>
        <v>0.00115605</v>
      </c>
      <c r="AB35" s="24">
        <f>Z35*AA35</f>
        <v>0</v>
      </c>
    </row>
    <row r="36" spans="3:28" ht="12.75">
      <c r="C36" s="4">
        <f>B36*AA36</f>
        <v>0</v>
      </c>
      <c r="E36" s="4">
        <f>D36*AA36</f>
        <v>0</v>
      </c>
      <c r="G36" s="4">
        <f>F36*AA36</f>
        <v>0</v>
      </c>
      <c r="I36" s="4">
        <f>H36*AA36</f>
        <v>0</v>
      </c>
      <c r="K36" s="4">
        <f>J36*AA36</f>
        <v>0</v>
      </c>
      <c r="M36" s="4">
        <f>L36*AA36</f>
        <v>0</v>
      </c>
      <c r="O36" s="4">
        <f>N36*AA36</f>
        <v>0</v>
      </c>
      <c r="Z36" s="4">
        <f>B36+D36+F36+H36+J36+L36+N36</f>
        <v>0</v>
      </c>
      <c r="AA36" s="4">
        <f>(693.63/600000)</f>
        <v>0.00115605</v>
      </c>
      <c r="AB36" s="24">
        <f>Z36*AA36</f>
        <v>0</v>
      </c>
    </row>
    <row r="37" spans="3:28" ht="12.75">
      <c r="C37" s="4">
        <f>B37*AA37</f>
        <v>0</v>
      </c>
      <c r="E37" s="4">
        <f>D37*AA37</f>
        <v>0</v>
      </c>
      <c r="G37" s="4">
        <f>F37*AA37</f>
        <v>0</v>
      </c>
      <c r="I37" s="4">
        <f>H37*AA37</f>
        <v>0</v>
      </c>
      <c r="K37" s="4">
        <f>J37*AA37</f>
        <v>0</v>
      </c>
      <c r="M37" s="4">
        <f>L37*AA37</f>
        <v>0</v>
      </c>
      <c r="O37" s="4">
        <f>N37*AA37</f>
        <v>0</v>
      </c>
      <c r="Z37" s="4">
        <f>B37+D37+F37+H37+J37+L37+N37</f>
        <v>0</v>
      </c>
      <c r="AA37" s="4">
        <f>(693.63/600000)</f>
        <v>0.00115605</v>
      </c>
      <c r="AB37" s="24">
        <f>Z37*AA37</f>
        <v>0</v>
      </c>
    </row>
    <row r="38" spans="3:28" ht="12.75">
      <c r="C38" s="4">
        <f>B38*AA38</f>
        <v>0</v>
      </c>
      <c r="E38" s="4">
        <f>D38*AA38</f>
        <v>0</v>
      </c>
      <c r="G38" s="4">
        <f>F38*AA38</f>
        <v>0</v>
      </c>
      <c r="I38" s="4">
        <f>H38*AA38</f>
        <v>0</v>
      </c>
      <c r="K38" s="4">
        <f>J38*AA38</f>
        <v>0</v>
      </c>
      <c r="M38" s="4">
        <f>L38*AA38</f>
        <v>0</v>
      </c>
      <c r="O38" s="4">
        <f>N38*AA38</f>
        <v>0</v>
      </c>
      <c r="Z38" s="4">
        <f>B38+D38+F38+H38+J38+L38+N38</f>
        <v>0</v>
      </c>
      <c r="AA38" s="4">
        <f>(693.63/600000)</f>
        <v>0.00115605</v>
      </c>
      <c r="AB38" s="24">
        <f>Z38*AA38</f>
        <v>0</v>
      </c>
    </row>
    <row r="39" spans="3:28" ht="12.75">
      <c r="C39" s="4">
        <f>B39*AA39</f>
        <v>0</v>
      </c>
      <c r="E39" s="4">
        <f>D39*AA39</f>
        <v>0</v>
      </c>
      <c r="G39" s="4">
        <f>F39*AA39</f>
        <v>0</v>
      </c>
      <c r="I39" s="4">
        <f>H39*AA39</f>
        <v>0</v>
      </c>
      <c r="K39" s="4">
        <f>J39*AA39</f>
        <v>0</v>
      </c>
      <c r="M39" s="4">
        <f>L39*AA39</f>
        <v>0</v>
      </c>
      <c r="O39" s="4">
        <f>N39*AA39</f>
        <v>0</v>
      </c>
      <c r="Z39" s="4">
        <f>B39+D39+F39+H39+J39+L39+N39</f>
        <v>0</v>
      </c>
      <c r="AA39" s="4">
        <f>(693.63/600000)</f>
        <v>0.00115605</v>
      </c>
      <c r="AB39" s="24">
        <f>Z39*AA39</f>
        <v>0</v>
      </c>
    </row>
    <row r="40" spans="3:28" ht="12.75">
      <c r="C40" s="4">
        <f>B40*AA40</f>
        <v>0</v>
      </c>
      <c r="E40" s="4">
        <f>D40*AA40</f>
        <v>0</v>
      </c>
      <c r="G40" s="4">
        <f>F40*AA40</f>
        <v>0</v>
      </c>
      <c r="I40" s="4">
        <f>H40*AA40</f>
        <v>0</v>
      </c>
      <c r="K40" s="4">
        <f>J40*AA40</f>
        <v>0</v>
      </c>
      <c r="M40" s="4">
        <f>L40*AA40</f>
        <v>0</v>
      </c>
      <c r="O40" s="4">
        <f>N40*AA40</f>
        <v>0</v>
      </c>
      <c r="Z40" s="4">
        <f>B40+D40+F40+H40+J40+L40+N40</f>
        <v>0</v>
      </c>
      <c r="AA40" s="4">
        <f>(693.63/600000)</f>
        <v>0.00115605</v>
      </c>
      <c r="AB40" s="24">
        <f>Z40*AA40</f>
        <v>0</v>
      </c>
    </row>
    <row r="41" spans="3:28" ht="12.75">
      <c r="C41" s="4">
        <f>B41*AA41</f>
        <v>0</v>
      </c>
      <c r="E41" s="4">
        <f>D41*AA41</f>
        <v>0</v>
      </c>
      <c r="G41" s="4">
        <f>F41*AA41</f>
        <v>0</v>
      </c>
      <c r="I41" s="4">
        <f>H41*AA41</f>
        <v>0</v>
      </c>
      <c r="K41" s="4">
        <f>J41*AA41</f>
        <v>0</v>
      </c>
      <c r="M41" s="4">
        <f>L41*AA41</f>
        <v>0</v>
      </c>
      <c r="O41" s="4">
        <f>N41*AA41</f>
        <v>0</v>
      </c>
      <c r="Z41" s="4">
        <f>B41+D41+F41+H41+J41+L41+N41</f>
        <v>0</v>
      </c>
      <c r="AA41" s="4">
        <f>(693.63/600000)</f>
        <v>0.00115605</v>
      </c>
      <c r="AB41" s="24">
        <f>Z41*AA41</f>
        <v>0</v>
      </c>
    </row>
    <row r="42" spans="3:28" ht="12.75">
      <c r="C42" s="4">
        <f>B42*AA42</f>
        <v>0</v>
      </c>
      <c r="E42" s="4">
        <f>D42*AA42</f>
        <v>0</v>
      </c>
      <c r="G42" s="4">
        <f>F42*AA42</f>
        <v>0</v>
      </c>
      <c r="I42" s="4">
        <f>H42*AA42</f>
        <v>0</v>
      </c>
      <c r="K42" s="4">
        <f>J42*AA42</f>
        <v>0</v>
      </c>
      <c r="M42" s="4">
        <f>L42*AA42</f>
        <v>0</v>
      </c>
      <c r="O42" s="4">
        <f>N42*AA42</f>
        <v>0</v>
      </c>
      <c r="Z42" s="4">
        <f>B42+D42+F42+H42+J42+L42+N42</f>
        <v>0</v>
      </c>
      <c r="AA42" s="4">
        <f>(693.63/600000)</f>
        <v>0.00115605</v>
      </c>
      <c r="AB42" s="24">
        <f>Z42*AA42</f>
        <v>0</v>
      </c>
    </row>
    <row r="43" spans="3:28" ht="12.75">
      <c r="C43" s="4">
        <f>B43*AA43</f>
        <v>0</v>
      </c>
      <c r="E43" s="4">
        <f>D43*AA43</f>
        <v>0</v>
      </c>
      <c r="G43" s="4">
        <f>F43*AA43</f>
        <v>0</v>
      </c>
      <c r="I43" s="4">
        <f>H43*AA43</f>
        <v>0</v>
      </c>
      <c r="K43" s="4">
        <f>J43*AA43</f>
        <v>0</v>
      </c>
      <c r="M43" s="4">
        <f>L43*AA43</f>
        <v>0</v>
      </c>
      <c r="O43" s="4">
        <f>N43*AA43</f>
        <v>0</v>
      </c>
      <c r="Z43" s="4">
        <f>B43+D43+F43+H43+J43+L43+N43</f>
        <v>0</v>
      </c>
      <c r="AA43" s="4">
        <f>(693.63/600000)</f>
        <v>0.00115605</v>
      </c>
      <c r="AB43" s="24">
        <f>Z43*AA43</f>
        <v>0</v>
      </c>
    </row>
    <row r="44" spans="3:28" ht="12.75">
      <c r="C44" s="4">
        <f>B44*AA44</f>
        <v>0</v>
      </c>
      <c r="E44" s="4">
        <f>D44*AA44</f>
        <v>0</v>
      </c>
      <c r="G44" s="4">
        <f>F44*AA44</f>
        <v>0</v>
      </c>
      <c r="I44" s="4">
        <f>H44*AA44</f>
        <v>0</v>
      </c>
      <c r="K44" s="4">
        <f>J44*AA44</f>
        <v>0</v>
      </c>
      <c r="M44" s="4">
        <f>L44*AA44</f>
        <v>0</v>
      </c>
      <c r="O44" s="4">
        <f>N44*AA44</f>
        <v>0</v>
      </c>
      <c r="Z44" s="4">
        <f>B44+D44+F44+H44+J44+L44+N44</f>
        <v>0</v>
      </c>
      <c r="AA44" s="4">
        <f>(693.63/600000)</f>
        <v>0.00115605</v>
      </c>
      <c r="AB44" s="24">
        <f>Z44*AA44</f>
        <v>0</v>
      </c>
    </row>
    <row r="45" spans="3:28" ht="12.75">
      <c r="C45" s="4">
        <f>B45*AA45</f>
        <v>0</v>
      </c>
      <c r="E45" s="4">
        <f>D45*AA45</f>
        <v>0</v>
      </c>
      <c r="G45" s="4">
        <f>F45*AA45</f>
        <v>0</v>
      </c>
      <c r="I45" s="4">
        <f>H45*AA45</f>
        <v>0</v>
      </c>
      <c r="K45" s="4">
        <f>J45*AA45</f>
        <v>0</v>
      </c>
      <c r="M45" s="4">
        <f>L45*AA45</f>
        <v>0</v>
      </c>
      <c r="O45" s="4">
        <f>N45*AA45</f>
        <v>0</v>
      </c>
      <c r="Z45" s="4">
        <f>B45+D45+F45+H45+J45+L45+N45</f>
        <v>0</v>
      </c>
      <c r="AA45" s="4">
        <f>(693.63/600000)</f>
        <v>0.00115605</v>
      </c>
      <c r="AB45" s="24">
        <f>Z45*AA45</f>
        <v>0</v>
      </c>
    </row>
    <row r="46" spans="3:28" ht="12.75">
      <c r="C46" s="4">
        <f>B46*AA46</f>
        <v>0</v>
      </c>
      <c r="E46" s="4">
        <f>D46*AA46</f>
        <v>0</v>
      </c>
      <c r="G46" s="4">
        <f>F46*AA46</f>
        <v>0</v>
      </c>
      <c r="I46" s="4">
        <f>H46*AA46</f>
        <v>0</v>
      </c>
      <c r="K46" s="4">
        <f>J46*AA46</f>
        <v>0</v>
      </c>
      <c r="M46" s="4">
        <f>L46*AA46</f>
        <v>0</v>
      </c>
      <c r="O46" s="4">
        <f>N46*AA46</f>
        <v>0</v>
      </c>
      <c r="Z46" s="4">
        <f>B46+D46+F46+H46+J46+L46+N46</f>
        <v>0</v>
      </c>
      <c r="AA46" s="4">
        <f>(693.63/600000)</f>
        <v>0.00115605</v>
      </c>
      <c r="AB46" s="24">
        <f>Z46*AA46</f>
        <v>0</v>
      </c>
    </row>
    <row r="47" spans="3:28" ht="12.75">
      <c r="C47" s="4">
        <f>B47*AA47</f>
        <v>0</v>
      </c>
      <c r="E47" s="4">
        <f>D47*AA47</f>
        <v>0</v>
      </c>
      <c r="G47" s="4">
        <f>F47*AA47</f>
        <v>0</v>
      </c>
      <c r="I47" s="4">
        <f>H47*AA47</f>
        <v>0</v>
      </c>
      <c r="K47" s="4">
        <f>J47*AA47</f>
        <v>0</v>
      </c>
      <c r="M47" s="4">
        <f>L47*AA47</f>
        <v>0</v>
      </c>
      <c r="O47" s="4">
        <f>N47*AA47</f>
        <v>0</v>
      </c>
      <c r="Z47" s="4">
        <f>B47+D47+F47+H47+J47+L47+N47</f>
        <v>0</v>
      </c>
      <c r="AA47" s="4">
        <f>(693.63/600000)</f>
        <v>0.00115605</v>
      </c>
      <c r="AB47" s="24">
        <f>Z47*AA47</f>
        <v>0</v>
      </c>
    </row>
    <row r="48" spans="3:28" ht="12.75">
      <c r="C48" s="4">
        <f>B48*AA48</f>
        <v>0</v>
      </c>
      <c r="E48" s="4">
        <f>D48*AA48</f>
        <v>0</v>
      </c>
      <c r="G48" s="4">
        <f>F48*AA48</f>
        <v>0</v>
      </c>
      <c r="I48" s="4">
        <f>H48*AA48</f>
        <v>0</v>
      </c>
      <c r="K48" s="4">
        <f>J48*AA48</f>
        <v>0</v>
      </c>
      <c r="M48" s="4">
        <f>L48*AA48</f>
        <v>0</v>
      </c>
      <c r="O48" s="4">
        <f>N48*AA48</f>
        <v>0</v>
      </c>
      <c r="Z48" s="4">
        <f>B48+D48+F48+H48+J48+L48+N48</f>
        <v>0</v>
      </c>
      <c r="AA48" s="4">
        <f>(693.63/600000)</f>
        <v>0.00115605</v>
      </c>
      <c r="AB48" s="24">
        <f>Z48*AA48</f>
        <v>0</v>
      </c>
    </row>
    <row r="49" spans="3:28" ht="12.75">
      <c r="C49" s="4">
        <f>B49*AA49</f>
        <v>0</v>
      </c>
      <c r="E49" s="4">
        <f>D49*AA49</f>
        <v>0</v>
      </c>
      <c r="G49" s="4">
        <f>F49*AA49</f>
        <v>0</v>
      </c>
      <c r="I49" s="4">
        <f>H49*AA49</f>
        <v>0</v>
      </c>
      <c r="K49" s="4">
        <f>J49*AA49</f>
        <v>0</v>
      </c>
      <c r="M49" s="4">
        <f>L49*AA49</f>
        <v>0</v>
      </c>
      <c r="O49" s="4">
        <f>N49*AA49</f>
        <v>0</v>
      </c>
      <c r="Z49" s="4">
        <f>B49+D49+F49+H49+J49+L49+N49</f>
        <v>0</v>
      </c>
      <c r="AA49" s="4">
        <v>0.0061</v>
      </c>
      <c r="AB49" s="24">
        <f>Z49*AA49</f>
        <v>0</v>
      </c>
    </row>
    <row r="50" spans="3:28" ht="12.75">
      <c r="C50" s="4">
        <f>B50*AA50</f>
        <v>0</v>
      </c>
      <c r="E50" s="4">
        <f>D50*AA50</f>
        <v>0</v>
      </c>
      <c r="G50" s="4">
        <f>F50*AA50</f>
        <v>0</v>
      </c>
      <c r="I50" s="4">
        <f>H50*AA50</f>
        <v>0</v>
      </c>
      <c r="K50" s="4">
        <f>J50*AA50</f>
        <v>0</v>
      </c>
      <c r="M50" s="4">
        <f>L50*AA50</f>
        <v>0</v>
      </c>
      <c r="O50" s="4">
        <f>N50*AA50</f>
        <v>0</v>
      </c>
      <c r="Z50" s="4">
        <f>B50+D50+F50+H50+J50+L50+N50</f>
        <v>0</v>
      </c>
      <c r="AA50" s="4">
        <v>0.005925</v>
      </c>
      <c r="AB50" s="24">
        <f>Z50*AA50</f>
        <v>0</v>
      </c>
    </row>
    <row r="51" spans="3:28" ht="12.75">
      <c r="C51" s="4">
        <f>B51*AA51</f>
        <v>0</v>
      </c>
      <c r="E51" s="4">
        <f>D51*AA51</f>
        <v>0</v>
      </c>
      <c r="G51" s="4">
        <f>F51*AA51</f>
        <v>0</v>
      </c>
      <c r="I51" s="4">
        <f>H51*AA51</f>
        <v>0</v>
      </c>
      <c r="K51" s="4">
        <f>J51*AA51</f>
        <v>0</v>
      </c>
      <c r="M51" s="4">
        <f>L51*AA51</f>
        <v>0</v>
      </c>
      <c r="O51" s="4">
        <f>N51*AA51</f>
        <v>0</v>
      </c>
      <c r="Z51" s="4">
        <f>B51+D51+F51+H51+J51+L51+N51</f>
        <v>0</v>
      </c>
      <c r="AB51" s="24">
        <f>Z51*AA51</f>
        <v>0</v>
      </c>
    </row>
    <row r="52" spans="3:28" ht="12.75">
      <c r="C52" s="4">
        <f>B52*AA52</f>
        <v>0</v>
      </c>
      <c r="E52" s="4">
        <f>D52*AA52</f>
        <v>0</v>
      </c>
      <c r="G52" s="4">
        <f>F52*AA52</f>
        <v>0</v>
      </c>
      <c r="I52" s="4">
        <f>H52*AA52</f>
        <v>0</v>
      </c>
      <c r="K52" s="4">
        <f>J52*AA52</f>
        <v>0</v>
      </c>
      <c r="M52" s="4">
        <f>L52*AA52</f>
        <v>0</v>
      </c>
      <c r="O52" s="4">
        <f>N52*AA52</f>
        <v>0</v>
      </c>
      <c r="Z52" s="4">
        <f>B52+D52+F52+H52+J52+L52+N52</f>
        <v>0</v>
      </c>
      <c r="AB52" s="24">
        <f>Z52*AA52</f>
        <v>0</v>
      </c>
    </row>
    <row r="53" spans="3:28" ht="12.75">
      <c r="C53" s="4">
        <f>B53*AA53</f>
        <v>0</v>
      </c>
      <c r="E53" s="4">
        <f>D53*AA53</f>
        <v>0</v>
      </c>
      <c r="G53" s="4">
        <f>F53*AA53</f>
        <v>0</v>
      </c>
      <c r="I53" s="4">
        <f>H53*AA53</f>
        <v>0</v>
      </c>
      <c r="K53" s="4">
        <f>J53*AA53</f>
        <v>0</v>
      </c>
      <c r="M53" s="4">
        <f>L53*AA53</f>
        <v>0</v>
      </c>
      <c r="O53" s="4">
        <f>N53*AA53</f>
        <v>0</v>
      </c>
      <c r="Z53" s="4">
        <f>B53+D53+F53+H53+J53+L53+N53</f>
        <v>0</v>
      </c>
      <c r="AB53" s="24">
        <f>Z53*AA53</f>
        <v>0</v>
      </c>
    </row>
    <row r="54" spans="3:28" ht="12.75">
      <c r="C54" s="4">
        <f>B54*AA54</f>
        <v>0</v>
      </c>
      <c r="E54" s="4">
        <f>D54*AA54</f>
        <v>0</v>
      </c>
      <c r="G54" s="4">
        <f>F54*AA54</f>
        <v>0</v>
      </c>
      <c r="I54" s="4">
        <f>H54*AA54</f>
        <v>0</v>
      </c>
      <c r="K54" s="4">
        <f>J54*AA54</f>
        <v>0</v>
      </c>
      <c r="M54" s="4">
        <f>L54*AA54</f>
        <v>0</v>
      </c>
      <c r="O54" s="4">
        <f>N54*AA54</f>
        <v>0</v>
      </c>
      <c r="Z54" s="4">
        <f>B54+D54+F54+H54+J54+L54+N54</f>
        <v>0</v>
      </c>
      <c r="AA54" s="4">
        <v>0.005925</v>
      </c>
      <c r="AB54" s="24">
        <f>Z54*AA54</f>
        <v>0</v>
      </c>
    </row>
    <row r="55" spans="3:28" ht="12.75">
      <c r="C55" s="4">
        <f>B55*AA55</f>
        <v>0</v>
      </c>
      <c r="E55" s="4">
        <f>D55*AA55</f>
        <v>0</v>
      </c>
      <c r="G55" s="4">
        <f>F55*AA55</f>
        <v>0</v>
      </c>
      <c r="I55" s="4">
        <f>H55*AA55</f>
        <v>0</v>
      </c>
      <c r="K55" s="4">
        <f>J55*AA55</f>
        <v>0</v>
      </c>
      <c r="M55" s="4">
        <f>L55*AA55</f>
        <v>0</v>
      </c>
      <c r="O55" s="4">
        <f>N55*AA55</f>
        <v>0</v>
      </c>
      <c r="Z55" s="4">
        <f>B55+D55+F55+H55+J55+L55+N55</f>
        <v>0</v>
      </c>
      <c r="AB55" s="24">
        <f>Z55*AA55</f>
        <v>0</v>
      </c>
    </row>
    <row r="56" spans="3:28" ht="12.75">
      <c r="C56" s="4">
        <f>B56*AA56</f>
        <v>0</v>
      </c>
      <c r="E56" s="4">
        <f>D56*AA56</f>
        <v>0</v>
      </c>
      <c r="G56" s="4">
        <f>F56*AA56</f>
        <v>0</v>
      </c>
      <c r="I56" s="4">
        <f>H56*AA56</f>
        <v>0</v>
      </c>
      <c r="K56" s="4">
        <f>J56*AA56</f>
        <v>0</v>
      </c>
      <c r="M56" s="4">
        <f>L56*AA56</f>
        <v>0</v>
      </c>
      <c r="O56" s="4">
        <f>N56*AA56</f>
        <v>0</v>
      </c>
      <c r="Z56" s="4">
        <f>B56+D56+F56+H56+J56+L56+N56</f>
        <v>0</v>
      </c>
      <c r="AB56" s="24">
        <f>Z56*AA56</f>
        <v>0</v>
      </c>
    </row>
    <row r="57" spans="3:28" ht="12.75">
      <c r="C57" s="4">
        <f>B57*AA57</f>
        <v>0</v>
      </c>
      <c r="E57" s="4">
        <f>D57*AA57</f>
        <v>0</v>
      </c>
      <c r="G57" s="4">
        <f>F57*AA57</f>
        <v>0</v>
      </c>
      <c r="I57" s="4">
        <f>H57*AA57</f>
        <v>0</v>
      </c>
      <c r="K57" s="4">
        <f>J57*AA57</f>
        <v>0</v>
      </c>
      <c r="M57" s="4">
        <f>L57*AA57</f>
        <v>0</v>
      </c>
      <c r="O57" s="4">
        <f>N57*AA57</f>
        <v>0</v>
      </c>
      <c r="Z57" s="4">
        <f>B57+D57+F57+H57+J57+L57+N57</f>
        <v>0</v>
      </c>
      <c r="AB57" s="24">
        <f>Z57*AA57</f>
        <v>0</v>
      </c>
    </row>
    <row r="58" spans="3:26" ht="12.75">
      <c r="C58" s="4">
        <f>B58*AA58</f>
        <v>0</v>
      </c>
      <c r="E58" s="4">
        <f>D58*AA58</f>
        <v>0</v>
      </c>
      <c r="G58" s="4">
        <f>F58*AA58</f>
        <v>0</v>
      </c>
      <c r="I58" s="4">
        <f>H58*AA58</f>
        <v>0</v>
      </c>
      <c r="K58" s="4">
        <f>J58*AA58</f>
        <v>0</v>
      </c>
      <c r="M58" s="4">
        <f>L58*AA58</f>
        <v>0</v>
      </c>
      <c r="O58" s="4">
        <f>N58*AA58</f>
        <v>0</v>
      </c>
      <c r="Z58" s="4">
        <f>B58+D58+F58+H58+J58+L58+N58</f>
        <v>0</v>
      </c>
    </row>
    <row r="59" spans="3:26" ht="12.75">
      <c r="C59" s="4">
        <f>B59*AA59</f>
        <v>0</v>
      </c>
      <c r="E59" s="4">
        <f>D59*AA59</f>
        <v>0</v>
      </c>
      <c r="G59" s="4">
        <f>F59*AA59</f>
        <v>0</v>
      </c>
      <c r="I59" s="4">
        <f>H59*AA59</f>
        <v>0</v>
      </c>
      <c r="K59" s="4">
        <f>J59*AA59</f>
        <v>0</v>
      </c>
      <c r="M59" s="4">
        <f>L59*AA59</f>
        <v>0</v>
      </c>
      <c r="O59" s="4">
        <f>N59*AA59</f>
        <v>0</v>
      </c>
      <c r="Z59" s="4">
        <f>B59+D59+F59+H59+J59+L59+N59</f>
        <v>0</v>
      </c>
    </row>
    <row r="60" spans="3:26" ht="12.75">
      <c r="C60" s="4">
        <f>B60*AA60</f>
        <v>0</v>
      </c>
      <c r="E60" s="4">
        <f>D60*AA60</f>
        <v>0</v>
      </c>
      <c r="G60" s="4">
        <f>F60*AA60</f>
        <v>0</v>
      </c>
      <c r="I60" s="4">
        <f>H60*AA60</f>
        <v>0</v>
      </c>
      <c r="K60" s="4">
        <f>J60*AA60</f>
        <v>0</v>
      </c>
      <c r="M60" s="4">
        <f>L60*AA60</f>
        <v>0</v>
      </c>
      <c r="O60" s="4">
        <f>N60*AA60</f>
        <v>0</v>
      </c>
      <c r="Z60" s="4">
        <f>B60+D60+F60+H60+J60+L60+N60</f>
        <v>0</v>
      </c>
    </row>
    <row r="61" spans="3:26" ht="12.75">
      <c r="C61" s="4">
        <f>B61*AA61</f>
        <v>0</v>
      </c>
      <c r="E61" s="4">
        <f>D61*AA61</f>
        <v>0</v>
      </c>
      <c r="G61" s="4">
        <f>F61*AA61</f>
        <v>0</v>
      </c>
      <c r="I61" s="4">
        <f>H61*AA61</f>
        <v>0</v>
      </c>
      <c r="K61" s="4">
        <f>J61*AA61</f>
        <v>0</v>
      </c>
      <c r="M61" s="4">
        <f>L61*AA61</f>
        <v>0</v>
      </c>
      <c r="O61" s="4">
        <f>N61*AA61</f>
        <v>0</v>
      </c>
      <c r="Z61" s="4">
        <f>B61+D61+F61+H61+J61+L61+N61</f>
        <v>0</v>
      </c>
    </row>
    <row r="62" spans="3:26" ht="12.75">
      <c r="C62" s="4">
        <f>B62*AA62</f>
        <v>0</v>
      </c>
      <c r="E62" s="4">
        <f>D62*AA62</f>
        <v>0</v>
      </c>
      <c r="G62" s="4">
        <f>F62*AA62</f>
        <v>0</v>
      </c>
      <c r="I62" s="4">
        <f>H62*AA62</f>
        <v>0</v>
      </c>
      <c r="K62" s="4">
        <f>J62*AA62</f>
        <v>0</v>
      </c>
      <c r="M62" s="4">
        <f>L62*AA62</f>
        <v>0</v>
      </c>
      <c r="Z62" s="4">
        <f>B62+D62+F62+H62+J62+L62+N62</f>
        <v>0</v>
      </c>
    </row>
    <row r="63" spans="3:26" ht="12.75">
      <c r="C63" s="4">
        <f>B63*AA63</f>
        <v>0</v>
      </c>
      <c r="E63" s="4">
        <f>D63*AA63</f>
        <v>0</v>
      </c>
      <c r="G63" s="4">
        <f>F63*AA63</f>
        <v>0</v>
      </c>
      <c r="I63" s="4">
        <f>H63*AA63</f>
        <v>0</v>
      </c>
      <c r="K63" s="4">
        <f>J63*AA63</f>
        <v>0</v>
      </c>
      <c r="M63" s="4">
        <f>L63*AA63</f>
        <v>0</v>
      </c>
      <c r="Z63" s="4">
        <f>B63+D63+F63+H63+J63+L63+N63</f>
        <v>0</v>
      </c>
    </row>
    <row r="64" spans="3:26" ht="12.75">
      <c r="C64" s="4">
        <f>B64*AA64</f>
        <v>0</v>
      </c>
      <c r="E64" s="4">
        <f>D64*AA64</f>
        <v>0</v>
      </c>
      <c r="G64" s="4">
        <f>F64*AA64</f>
        <v>0</v>
      </c>
      <c r="I64" s="4">
        <f>H64*AA64</f>
        <v>0</v>
      </c>
      <c r="K64" s="4">
        <f>J64*AA64</f>
        <v>0</v>
      </c>
      <c r="M64" s="4">
        <f>L64*AA64</f>
        <v>0</v>
      </c>
      <c r="Z64" s="4">
        <f>B64+D64+F64+H64+J64+L64+N64</f>
        <v>0</v>
      </c>
    </row>
    <row r="65" spans="3:26" ht="12.75">
      <c r="C65" s="4">
        <f>B65*AA65</f>
        <v>0</v>
      </c>
      <c r="E65" s="4">
        <f>D65*AA65</f>
        <v>0</v>
      </c>
      <c r="G65" s="4">
        <f>F65*AA65</f>
        <v>0</v>
      </c>
      <c r="I65" s="4">
        <f>H65*AA65</f>
        <v>0</v>
      </c>
      <c r="K65" s="4">
        <f>J65*AA65</f>
        <v>0</v>
      </c>
      <c r="M65" s="4">
        <f>L65*AA65</f>
        <v>0</v>
      </c>
      <c r="Z65" s="4">
        <f>B65+D65+F65+H65+J65+L65+N65</f>
        <v>0</v>
      </c>
    </row>
    <row r="66" spans="3:26" ht="12.75">
      <c r="C66" s="4">
        <f>B66*AA66</f>
        <v>0</v>
      </c>
      <c r="E66" s="4">
        <f>D66*AA66</f>
        <v>0</v>
      </c>
      <c r="G66" s="4">
        <f>F66*AA66</f>
        <v>0</v>
      </c>
      <c r="I66" s="4">
        <f>H66*AA66</f>
        <v>0</v>
      </c>
      <c r="K66" s="4">
        <f>J66*AA66</f>
        <v>0</v>
      </c>
      <c r="M66" s="4">
        <f>L66*AA66</f>
        <v>0</v>
      </c>
      <c r="Z66" s="4">
        <f>B66+D66+F66+H66+J66+L66+N66</f>
        <v>0</v>
      </c>
    </row>
    <row r="67" spans="3:26" ht="12.75">
      <c r="C67" s="4">
        <f>B67*AA67</f>
        <v>0</v>
      </c>
      <c r="E67" s="4">
        <f>D67*AA67</f>
        <v>0</v>
      </c>
      <c r="G67" s="4">
        <f>F67*AA67</f>
        <v>0</v>
      </c>
      <c r="I67" s="4">
        <f>H67*AA67</f>
        <v>0</v>
      </c>
      <c r="K67" s="4">
        <f>J67*AA67</f>
        <v>0</v>
      </c>
      <c r="M67" s="4">
        <f>L67*AA67</f>
        <v>0</v>
      </c>
      <c r="Z67" s="4">
        <f>B67+D67+F67+H67+J67+L67+N67</f>
        <v>0</v>
      </c>
    </row>
    <row r="68" spans="3:26" ht="12.75">
      <c r="C68" s="4">
        <f>B68*AA68</f>
        <v>0</v>
      </c>
      <c r="E68" s="4">
        <f>D68*AA68</f>
        <v>0</v>
      </c>
      <c r="G68" s="4">
        <f>F68*AA68</f>
        <v>0</v>
      </c>
      <c r="I68" s="4">
        <f>H68*AA68</f>
        <v>0</v>
      </c>
      <c r="K68" s="4">
        <f>J68*AA68</f>
        <v>0</v>
      </c>
      <c r="M68" s="4">
        <f>L68*AA68</f>
        <v>0</v>
      </c>
      <c r="Z68" s="4">
        <f>B68+D68+F68+H68+J68+L68+N68</f>
        <v>0</v>
      </c>
    </row>
    <row r="69" spans="3:26" ht="12.75">
      <c r="C69" s="4">
        <f>B69*AA69</f>
        <v>0</v>
      </c>
      <c r="E69" s="4">
        <f>D69*AA69</f>
        <v>0</v>
      </c>
      <c r="G69" s="4">
        <f>F69*AA69</f>
        <v>0</v>
      </c>
      <c r="I69" s="4">
        <f>H69*AA69</f>
        <v>0</v>
      </c>
      <c r="K69" s="4">
        <f>J69*AA69</f>
        <v>0</v>
      </c>
      <c r="M69" s="4">
        <f>L69*AA69</f>
        <v>0</v>
      </c>
      <c r="Z69" s="4">
        <f>B69+D69+F69+H69+J69+L69+N69</f>
        <v>0</v>
      </c>
    </row>
    <row r="70" spans="3:26" ht="12.75">
      <c r="C70" s="4">
        <f>B70*AA70</f>
        <v>0</v>
      </c>
      <c r="E70" s="4">
        <f>D70*AA70</f>
        <v>0</v>
      </c>
      <c r="G70" s="4">
        <f>F70*AA70</f>
        <v>0</v>
      </c>
      <c r="I70" s="4">
        <f>H70*AA70</f>
        <v>0</v>
      </c>
      <c r="K70" s="4">
        <f>J70*AA70</f>
        <v>0</v>
      </c>
      <c r="M70" s="4">
        <f>L70*AA70</f>
        <v>0</v>
      </c>
      <c r="Z70" s="4">
        <f>B70+D70+F70+H70+J70+L70+N70</f>
        <v>0</v>
      </c>
    </row>
    <row r="71" spans="3:26" ht="12.75">
      <c r="C71" s="4">
        <f>B71*AA71</f>
        <v>0</v>
      </c>
      <c r="E71" s="4">
        <f>D71*AA71</f>
        <v>0</v>
      </c>
      <c r="G71" s="4">
        <f>F71*AA71</f>
        <v>0</v>
      </c>
      <c r="I71" s="4">
        <f>H71*AA71</f>
        <v>0</v>
      </c>
      <c r="K71" s="4">
        <f>J71*AA71</f>
        <v>0</v>
      </c>
      <c r="M71" s="4">
        <f>L71*AA71</f>
        <v>0</v>
      </c>
      <c r="Z71" s="4">
        <f>B71+D71+F71+H71+J71+L71+N71</f>
        <v>0</v>
      </c>
    </row>
    <row r="72" spans="3:26" ht="12.75">
      <c r="C72" s="4">
        <f>B72*AA72</f>
        <v>0</v>
      </c>
      <c r="E72" s="4">
        <f>D72*AA72</f>
        <v>0</v>
      </c>
      <c r="G72" s="4">
        <f>F72*AA72</f>
        <v>0</v>
      </c>
      <c r="I72" s="4">
        <f>H72*AA72</f>
        <v>0</v>
      </c>
      <c r="K72" s="4">
        <f>J72*AA72</f>
        <v>0</v>
      </c>
      <c r="M72" s="4">
        <f>L72*AA72</f>
        <v>0</v>
      </c>
      <c r="Z72" s="4">
        <f>B72+D72+F72+H72+J72+L72+N72</f>
        <v>0</v>
      </c>
    </row>
    <row r="73" spans="3:26" ht="12.75">
      <c r="C73" s="4">
        <f>B73*AA73</f>
        <v>0</v>
      </c>
      <c r="E73" s="4">
        <f>D73*AA73</f>
        <v>0</v>
      </c>
      <c r="G73" s="4">
        <f>F73*AA73</f>
        <v>0</v>
      </c>
      <c r="I73" s="4">
        <f>H73*AA73</f>
        <v>0</v>
      </c>
      <c r="M73" s="4">
        <f>L73*AA73</f>
        <v>0</v>
      </c>
      <c r="Z73" s="4">
        <f>B73+D73+F73+H73+J73+L73+N73</f>
        <v>0</v>
      </c>
    </row>
    <row r="74" spans="3:26" ht="12.75">
      <c r="C74" s="4">
        <f>B74*AA74</f>
        <v>0</v>
      </c>
      <c r="E74" s="4">
        <f>D74*AA74</f>
        <v>0</v>
      </c>
      <c r="G74" s="4">
        <f>F74*AA74</f>
        <v>0</v>
      </c>
      <c r="I74" s="4">
        <f>H74*AA74</f>
        <v>0</v>
      </c>
      <c r="M74" s="4">
        <f>L74*AA74</f>
        <v>0</v>
      </c>
      <c r="Z74" s="4">
        <f>B74+D74+F74+H74+J74+L74+N74</f>
        <v>0</v>
      </c>
    </row>
    <row r="75" spans="3:26" ht="12.75">
      <c r="C75" s="4">
        <f>B75*AA75</f>
        <v>0</v>
      </c>
      <c r="E75" s="4">
        <f>D75*AA75</f>
        <v>0</v>
      </c>
      <c r="G75" s="4">
        <f>F75*AA75</f>
        <v>0</v>
      </c>
      <c r="I75" s="4">
        <f>H75*AA75</f>
        <v>0</v>
      </c>
      <c r="M75" s="4">
        <f>L75*AA75</f>
        <v>0</v>
      </c>
      <c r="Z75" s="4">
        <f>B75+D75+F75+H75+J75+L75+N75</f>
        <v>0</v>
      </c>
    </row>
    <row r="76" spans="3:26" ht="12.75">
      <c r="C76" s="4">
        <f>B76*AA76</f>
        <v>0</v>
      </c>
      <c r="E76" s="4">
        <f>D76*AA76</f>
        <v>0</v>
      </c>
      <c r="G76" s="4">
        <f>F76*AA76</f>
        <v>0</v>
      </c>
      <c r="I76" s="4">
        <f>H76*AA76</f>
        <v>0</v>
      </c>
      <c r="M76" s="4">
        <f>L76*AA76</f>
        <v>0</v>
      </c>
      <c r="Z76" s="4">
        <f>B76+D76+F76+H76+J76+L76+N76</f>
        <v>0</v>
      </c>
    </row>
    <row r="77" spans="3:26" ht="12.75">
      <c r="C77" s="4">
        <f>B77*AA77</f>
        <v>0</v>
      </c>
      <c r="E77" s="4">
        <f>D77*AA77</f>
        <v>0</v>
      </c>
      <c r="G77" s="4">
        <f>F77*AA77</f>
        <v>0</v>
      </c>
      <c r="I77" s="4">
        <f>H77*AA77</f>
        <v>0</v>
      </c>
      <c r="M77" s="4">
        <f>L77*AA77</f>
        <v>0</v>
      </c>
      <c r="Z77" s="4">
        <f>B77+D77+F77+H77+J77+L77+N77</f>
        <v>0</v>
      </c>
    </row>
    <row r="78" spans="3:26" ht="12.75">
      <c r="C78" s="4">
        <f>B78*AA78</f>
        <v>0</v>
      </c>
      <c r="E78" s="4">
        <f>D78*AA78</f>
        <v>0</v>
      </c>
      <c r="G78" s="4">
        <f>F78*AA78</f>
        <v>0</v>
      </c>
      <c r="I78" s="4">
        <f>H78*AA78</f>
        <v>0</v>
      </c>
      <c r="Z78" s="4">
        <f>B78+D78+F78+H78+J78+L78+N78</f>
        <v>0</v>
      </c>
    </row>
    <row r="79" spans="3:26" ht="12.75">
      <c r="C79" s="4">
        <f>B79*AA79</f>
        <v>0</v>
      </c>
      <c r="E79" s="4">
        <f>D79*AA79</f>
        <v>0</v>
      </c>
      <c r="G79" s="4">
        <f>F79*AA79</f>
        <v>0</v>
      </c>
      <c r="I79" s="4">
        <f>H79*AA79</f>
        <v>0</v>
      </c>
      <c r="Z79" s="4">
        <f>B79+D79+F79+H79+J79+L79+N79</f>
        <v>0</v>
      </c>
    </row>
    <row r="80" spans="3:26" ht="12.75">
      <c r="C80" s="4">
        <f>B80*AA80</f>
        <v>0</v>
      </c>
      <c r="E80" s="4">
        <f>D80*AA80</f>
        <v>0</v>
      </c>
      <c r="G80" s="4">
        <f>F80*AA80</f>
        <v>0</v>
      </c>
      <c r="I80" s="4">
        <f>H80*AA80</f>
        <v>0</v>
      </c>
      <c r="Z80" s="4">
        <f>B80+D80+F80+H80+J80+L80+N80</f>
        <v>0</v>
      </c>
    </row>
    <row r="81" spans="3:26" ht="12.75">
      <c r="C81" s="4">
        <f>B81*AA81</f>
        <v>0</v>
      </c>
      <c r="E81" s="4">
        <f>D81*AA81</f>
        <v>0</v>
      </c>
      <c r="G81" s="4">
        <f>F81*AA81</f>
        <v>0</v>
      </c>
      <c r="I81" s="4">
        <f>H81*AA81</f>
        <v>0</v>
      </c>
      <c r="Z81" s="4">
        <f>B81+D81+F81+H81+J81+L81+N81</f>
        <v>0</v>
      </c>
    </row>
    <row r="82" spans="3:26" ht="12.75">
      <c r="C82" s="4">
        <f>B82*AA82</f>
        <v>0</v>
      </c>
      <c r="E82" s="4">
        <f>D82*AA82</f>
        <v>0</v>
      </c>
      <c r="G82" s="4">
        <f>F82*AA82</f>
        <v>0</v>
      </c>
      <c r="I82" s="4">
        <f>H82*AA82</f>
        <v>0</v>
      </c>
      <c r="Z82" s="4">
        <f>B82+D82+F82+H82+J82+L82+N82</f>
        <v>0</v>
      </c>
    </row>
    <row r="83" spans="3:26" ht="12.75">
      <c r="C83" s="4">
        <f>B83*AA83</f>
        <v>0</v>
      </c>
      <c r="E83" s="4">
        <f>D83*AA83</f>
        <v>0</v>
      </c>
      <c r="Z83" s="4">
        <f>B83+D83+F83+H83+J83+L83+N83</f>
        <v>0</v>
      </c>
    </row>
    <row r="84" spans="3:26" ht="12.75">
      <c r="C84" s="4">
        <f>B84*AA84</f>
        <v>0</v>
      </c>
      <c r="E84" s="4">
        <f>D84*AA84</f>
        <v>0</v>
      </c>
      <c r="Z84" s="4">
        <f>B84+D84+F84+H84+J84+L84+N84</f>
        <v>0</v>
      </c>
    </row>
    <row r="85" spans="3:26" ht="12.75">
      <c r="C85" s="4">
        <f>B85*AA85</f>
        <v>0</v>
      </c>
      <c r="E85" s="4">
        <f>D85*AA85</f>
        <v>0</v>
      </c>
      <c r="Z85" s="4">
        <f>B85+D85+F85+H85+J85+L85+N85</f>
        <v>0</v>
      </c>
    </row>
    <row r="86" spans="3:26" ht="12.75">
      <c r="C86" s="4">
        <f>B86*AA86</f>
        <v>0</v>
      </c>
      <c r="E86" s="4">
        <f>D86*AA86</f>
        <v>0</v>
      </c>
      <c r="Z86" s="4">
        <f>B86+D86+F86+H86+J86+L86+N86</f>
        <v>0</v>
      </c>
    </row>
    <row r="87" spans="3:26" ht="12.75">
      <c r="C87" s="4">
        <f>B87*AA87</f>
        <v>0</v>
      </c>
      <c r="E87" s="4">
        <f>D87*AA87</f>
        <v>0</v>
      </c>
      <c r="Z87" s="4">
        <f>B87+D87+F87+H87+J87+L87+N87</f>
        <v>0</v>
      </c>
    </row>
    <row r="88" spans="3:26" ht="12.75">
      <c r="C88" s="4">
        <f>B88*AA88</f>
        <v>0</v>
      </c>
      <c r="E88" s="4">
        <f>D88*AA88</f>
        <v>0</v>
      </c>
      <c r="Z88" s="4">
        <f>B88+D88+F88+H88+J88+L88+N88</f>
        <v>0</v>
      </c>
    </row>
    <row r="89" spans="3:26" ht="12.75">
      <c r="C89" s="4">
        <f>B89*AA89</f>
        <v>0</v>
      </c>
      <c r="E89" s="4">
        <f>D89*AA89</f>
        <v>0</v>
      </c>
      <c r="Z89" s="4">
        <f>B89+D89+F89+H89+J89+L89+N89</f>
        <v>0</v>
      </c>
    </row>
    <row r="90" spans="3:26" ht="12.75">
      <c r="C90" s="4">
        <f>B90*AA90</f>
        <v>0</v>
      </c>
      <c r="E90" s="4">
        <f>D90*AA90</f>
        <v>0</v>
      </c>
      <c r="Z90" s="4">
        <f>B90+D90+F90+H90+J90+L90+N90</f>
        <v>0</v>
      </c>
    </row>
    <row r="91" spans="3:26" ht="12.75">
      <c r="C91" s="4">
        <f>B91*AA91</f>
        <v>0</v>
      </c>
      <c r="E91" s="4">
        <f>D91*AA91</f>
        <v>0</v>
      </c>
      <c r="Z91" s="4">
        <f>B91+D91+F91+H91+J91+L91+N91</f>
        <v>0</v>
      </c>
    </row>
    <row r="92" spans="3:26" ht="12.75">
      <c r="C92" s="4">
        <f>B92*AA92</f>
        <v>0</v>
      </c>
      <c r="E92" s="4">
        <f>D92*AA92</f>
        <v>0</v>
      </c>
      <c r="Z92" s="4">
        <f>B92+D92+F92+H92+J92+L92+N92</f>
        <v>0</v>
      </c>
    </row>
    <row r="93" spans="3:26" ht="12.75">
      <c r="C93" s="4">
        <f>B93*AA93</f>
        <v>0</v>
      </c>
      <c r="E93" s="4">
        <f>D93*AA93</f>
        <v>0</v>
      </c>
      <c r="Z93" s="4">
        <f>B93+D93+F93+H93+J93+L93+N93</f>
        <v>0</v>
      </c>
    </row>
    <row r="94" spans="3:26" ht="12.75">
      <c r="C94" s="4">
        <f>B94*AA94</f>
        <v>0</v>
      </c>
      <c r="E94" s="4">
        <f>D94*AA94</f>
        <v>0</v>
      </c>
      <c r="Z94" s="4">
        <f>B94+D94+F94+H94+J94+L94+N94</f>
        <v>0</v>
      </c>
    </row>
    <row r="95" spans="3:26" ht="12.75">
      <c r="C95" s="4">
        <f>B95*AA95</f>
        <v>0</v>
      </c>
      <c r="E95" s="4">
        <f>D95*AA95</f>
        <v>0</v>
      </c>
      <c r="Z95" s="4">
        <f>B95+D95+F95+H95+J95+L95+N95</f>
        <v>0</v>
      </c>
    </row>
    <row r="96" spans="3:26" ht="12.75">
      <c r="C96" s="4">
        <f>B96*AA96</f>
        <v>0</v>
      </c>
      <c r="E96" s="4">
        <f>D96*AA96</f>
        <v>0</v>
      </c>
      <c r="Z96" s="4">
        <f>B96+D96+F96+H96+J96+L96+N96</f>
        <v>0</v>
      </c>
    </row>
    <row r="97" spans="3:26" ht="12.75">
      <c r="C97" s="4">
        <f>B97*AA97</f>
        <v>0</v>
      </c>
      <c r="Z97" s="4">
        <f>B97+D97+F97+H97+J97+L97+N97</f>
        <v>0</v>
      </c>
    </row>
    <row r="98" spans="3:26" ht="12.75">
      <c r="C98" s="4">
        <f>B98*AA98</f>
        <v>0</v>
      </c>
      <c r="Z98" s="4">
        <f>B98+D98+F98+H98+J98+L98+N98</f>
        <v>0</v>
      </c>
    </row>
    <row r="99" spans="3:26" ht="12.75">
      <c r="C99" s="4">
        <f>B99*AA99</f>
        <v>0</v>
      </c>
      <c r="Z99" s="4">
        <f>B99+D99+F99+H99+J99+L99+N99</f>
        <v>0</v>
      </c>
    </row>
    <row r="100" spans="3:26" ht="12.75">
      <c r="C100" s="4">
        <f>B100*AA100</f>
        <v>0</v>
      </c>
      <c r="Z100" s="4">
        <f>B100+D100+F100+H100+J100+L100+N100</f>
        <v>0</v>
      </c>
    </row>
    <row r="101" spans="3:26" ht="12.75">
      <c r="C101" s="4">
        <f>B101*AA101</f>
        <v>0</v>
      </c>
      <c r="Z101" s="4">
        <f>B101+D101+F101+H101+J101+L101+N101</f>
        <v>0</v>
      </c>
    </row>
    <row r="102" spans="3:26" ht="12.75">
      <c r="C102" s="4">
        <f>B102*AA102</f>
        <v>0</v>
      </c>
      <c r="Z102" s="4">
        <f>B102+D102+F102+H102+J102+L102+N102</f>
        <v>0</v>
      </c>
    </row>
    <row r="103" spans="3:26" ht="12.75">
      <c r="C103" s="4">
        <f>B103*AA103</f>
        <v>0</v>
      </c>
      <c r="Z103" s="4">
        <f>B103+D103+F103+H103+J103+L103+N103</f>
        <v>0</v>
      </c>
    </row>
    <row r="104" spans="3:26" ht="12.75">
      <c r="C104" s="4">
        <f>B104*AA104</f>
        <v>0</v>
      </c>
      <c r="Z104" s="4">
        <f>B104+D104+F104+H104+J104+L104+N104</f>
        <v>0</v>
      </c>
    </row>
    <row r="105" spans="3:26" ht="12.75">
      <c r="C105" s="4">
        <f>B105*AA105</f>
        <v>0</v>
      </c>
      <c r="Z105" s="4">
        <f>B105+D105+F105+H105+J105+L105+N105</f>
        <v>0</v>
      </c>
    </row>
    <row r="106" spans="3:26" ht="12.75">
      <c r="C106" s="4">
        <f>B106*AA106</f>
        <v>0</v>
      </c>
      <c r="Z106" s="4">
        <f>B106+D106+F106+H106+J106+L106+N106</f>
        <v>0</v>
      </c>
    </row>
    <row r="107" spans="3:26" ht="12.75">
      <c r="C107" s="4">
        <f>B107*AA107</f>
        <v>0</v>
      </c>
      <c r="Z107" s="4">
        <f>B107+D107+F107+H107+J107+L107+N107</f>
        <v>0</v>
      </c>
    </row>
    <row r="108" spans="3:26" ht="12.75">
      <c r="C108" s="4">
        <f>B108*AA108</f>
        <v>0</v>
      </c>
      <c r="Z108" s="4">
        <f>B108+D108+F108+H108+J108+L108+N108</f>
        <v>0</v>
      </c>
    </row>
    <row r="109" spans="3:26" ht="12.75">
      <c r="C109" s="4">
        <f>B109*AA109</f>
        <v>0</v>
      </c>
      <c r="Z109" s="4">
        <f>B109+D109+F109+H109+J109+L109+N109</f>
        <v>0</v>
      </c>
    </row>
    <row r="110" spans="3:26" ht="12.75">
      <c r="C110" s="4">
        <f>B110*AA110</f>
        <v>0</v>
      </c>
      <c r="Z110" s="4">
        <f>B110+D110+F110+H110+J110+L110+N110</f>
        <v>0</v>
      </c>
    </row>
    <row r="111" spans="3:26" ht="12.75">
      <c r="C111" s="4">
        <f>B111*AA111</f>
        <v>0</v>
      </c>
      <c r="Z111" s="4">
        <f>B111+D111+F111+H111+J111+L111+N111</f>
        <v>0</v>
      </c>
    </row>
    <row r="112" spans="3:26" ht="12.75">
      <c r="C112" s="4">
        <f>B112*AA112</f>
        <v>0</v>
      </c>
      <c r="Z112" s="4">
        <f>B112+D112+F112+H112+J112+L112+N112</f>
        <v>0</v>
      </c>
    </row>
    <row r="113" spans="3:26" ht="12.75">
      <c r="C113" s="4">
        <f>B113*AA113</f>
        <v>0</v>
      </c>
      <c r="Z113" s="4">
        <f>B113+D113+F113+H113+J113+L113+N113</f>
        <v>0</v>
      </c>
    </row>
    <row r="114" spans="3:26" ht="12.75">
      <c r="C114" s="4">
        <f>B114*AA114</f>
        <v>0</v>
      </c>
      <c r="Z114" s="4">
        <f>B114+D114+F114+H114+J114+L114+N114</f>
        <v>0</v>
      </c>
    </row>
    <row r="115" spans="3:26" ht="12.75">
      <c r="C115" s="4">
        <f>B115*AA115</f>
        <v>0</v>
      </c>
      <c r="Z115" s="4">
        <f>B115+D115+F115+H115+J115+L115+N115</f>
        <v>0</v>
      </c>
    </row>
    <row r="116" spans="3:26" ht="12.75">
      <c r="C116" s="4">
        <f>B116*AA116</f>
        <v>0</v>
      </c>
      <c r="Z116" s="4">
        <f>B116+D116+F116+H116+J116+L116+N116</f>
        <v>0</v>
      </c>
    </row>
    <row r="117" spans="3:26" ht="12.75">
      <c r="C117" s="4">
        <f>B117*AA117</f>
        <v>0</v>
      </c>
      <c r="Z117" s="4">
        <f>B117+D117+F117+H117+J117+L117+N117</f>
        <v>0</v>
      </c>
    </row>
    <row r="118" spans="3:26" ht="12.75">
      <c r="C118" s="4">
        <f>B118*AA118</f>
        <v>0</v>
      </c>
      <c r="Z118" s="4">
        <f>B118+D118+F118+H118+J118+L118+N118</f>
        <v>0</v>
      </c>
    </row>
    <row r="119" spans="3:26" ht="12.75">
      <c r="C119" s="4">
        <f>B119*AA119</f>
        <v>0</v>
      </c>
      <c r="Z119" s="4">
        <f>B119+D119+F119+H119+J119+L119+N119</f>
        <v>0</v>
      </c>
    </row>
    <row r="120" spans="3:26" ht="12.75">
      <c r="C120" s="4">
        <f>B120*AA120</f>
        <v>0</v>
      </c>
      <c r="Z120" s="4">
        <f>B120+D120+F120+H120+J120+L120+N120</f>
        <v>0</v>
      </c>
    </row>
    <row r="121" spans="3:26" ht="12.75">
      <c r="C121" s="4">
        <f>B121*AA121</f>
        <v>0</v>
      </c>
      <c r="Z121" s="4">
        <f>B121+D121+F121+H121+J121+L121+N121</f>
        <v>0</v>
      </c>
    </row>
    <row r="122" spans="3:26" ht="12.75">
      <c r="C122" s="4">
        <f>B122*AA122</f>
        <v>0</v>
      </c>
      <c r="Z122" s="4">
        <f>B122+D122+F122+H122+J122+L122+N122</f>
        <v>0</v>
      </c>
    </row>
    <row r="123" spans="3:26" ht="12.75">
      <c r="C123" s="4">
        <f>B123*AA123</f>
        <v>0</v>
      </c>
      <c r="Z123" s="4">
        <f>B123+D123+F123+H123+J123+L123+N123</f>
        <v>0</v>
      </c>
    </row>
    <row r="124" spans="3:26" ht="12.75">
      <c r="C124" s="4">
        <f>B124*AA124</f>
        <v>0</v>
      </c>
      <c r="Z124" s="4">
        <f>B124+D124+F124+H124+J124+L124+N124</f>
        <v>0</v>
      </c>
    </row>
    <row r="125" spans="3:26" ht="12.75">
      <c r="C125" s="4">
        <f>B125*AA125</f>
        <v>0</v>
      </c>
      <c r="Z125" s="4">
        <f>B125+D125+F125+H125+J125+L125+N125</f>
        <v>0</v>
      </c>
    </row>
    <row r="126" spans="3:26" ht="12.75">
      <c r="C126" s="4">
        <f>B126*AA126</f>
        <v>0</v>
      </c>
      <c r="Z126" s="4">
        <f>B126+D126+F126+H126+J126+L126+N126</f>
        <v>0</v>
      </c>
    </row>
    <row r="127" spans="3:26" ht="12.75">
      <c r="C127" s="4">
        <f>B127*AA127</f>
        <v>0</v>
      </c>
      <c r="Z127" s="4">
        <f>B127+D127+F127+H127+J127+L127+N127</f>
        <v>0</v>
      </c>
    </row>
    <row r="128" spans="3:26" ht="12.75">
      <c r="C128" s="4">
        <f>B128*AA128</f>
        <v>0</v>
      </c>
      <c r="Z128" s="4">
        <f>B128+D128+F128+H128+J128+L128+N128</f>
        <v>0</v>
      </c>
    </row>
    <row r="129" spans="3:26" ht="12.75">
      <c r="C129" s="4">
        <f>B129*AA129</f>
        <v>0</v>
      </c>
      <c r="Z129" s="4">
        <f>B129+D129+F129+H129+J129+L129+N129</f>
        <v>0</v>
      </c>
    </row>
    <row r="130" spans="3:26" ht="12.75">
      <c r="C130" s="4">
        <f>B130*AA130</f>
        <v>0</v>
      </c>
      <c r="Z130" s="4">
        <f>B130+D130+F130+H130+J130+L130+N130</f>
        <v>0</v>
      </c>
    </row>
    <row r="131" spans="3:26" ht="12.75">
      <c r="C131" s="4">
        <f>B131*AA131</f>
        <v>0</v>
      </c>
      <c r="Z131" s="4">
        <f>B131+D131+F131+H131+J131+L131+N131</f>
        <v>0</v>
      </c>
    </row>
    <row r="132" spans="3:26" ht="12.75">
      <c r="C132" s="4">
        <f>B132*AA132</f>
        <v>0</v>
      </c>
      <c r="Z132" s="4">
        <f>B132+D132+F132+H132+J132+L132+N132</f>
        <v>0</v>
      </c>
    </row>
    <row r="133" ht="12.75">
      <c r="Z133" s="4">
        <f>B133+D133+F133+H133+J133+L133+N133</f>
        <v>0</v>
      </c>
    </row>
    <row r="134" ht="12.75">
      <c r="Z134" s="4">
        <f>B134+D134+F134+H134+J134+L134+N134</f>
        <v>0</v>
      </c>
    </row>
    <row r="135" ht="12.75">
      <c r="Z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35"/>
  <sheetViews>
    <sheetView zoomScale="95" zoomScaleNormal="95" workbookViewId="0" topLeftCell="N1">
      <selection activeCell="Z1" sqref="Z1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6" width="7.75390625" style="4" customWidth="1"/>
    <col min="17" max="17" width="15.25390625" style="4" customWidth="1"/>
    <col min="18" max="18" width="5.00390625" style="4" customWidth="1"/>
    <col min="19" max="19" width="10.625" style="4" customWidth="1"/>
    <col min="20" max="20" width="6.875" style="4" customWidth="1"/>
    <col min="21" max="21" width="3.25390625" style="4" customWidth="1"/>
    <col min="22" max="22" width="8.375" style="4" customWidth="1"/>
    <col min="23" max="23" width="6.50390625" style="4" customWidth="1"/>
    <col min="24" max="24" width="7.00390625" style="4" customWidth="1"/>
    <col min="25" max="25" width="23.375" style="4" customWidth="1"/>
    <col min="26" max="26" width="15.25390625" style="4" customWidth="1"/>
    <col min="27" max="27" width="8.875" style="4" customWidth="1"/>
    <col min="28" max="28" width="9.00390625" style="24" customWidth="1"/>
    <col min="29" max="29" width="1.4921875" style="4" customWidth="1"/>
    <col min="30" max="30" width="2.75390625" style="4" customWidth="1"/>
    <col min="31" max="31" width="1.875" style="4" customWidth="1"/>
    <col min="32" max="32" width="16.50390625" style="4" customWidth="1"/>
    <col min="33" max="33" width="11.625" style="4" customWidth="1"/>
    <col min="34" max="34" width="1.4921875" style="4" customWidth="1"/>
    <col min="35" max="35" width="13.875" style="4" customWidth="1"/>
    <col min="36" max="36" width="14.25390625" style="4" customWidth="1"/>
    <col min="37" max="37" width="2.00390625" style="4" customWidth="1"/>
    <col min="38" max="38" width="22.125" style="4" customWidth="1"/>
    <col min="39" max="39" width="10.625" style="4" customWidth="1"/>
    <col min="40" max="40" width="2.375" style="4" customWidth="1"/>
    <col min="41" max="41" width="15.125" style="4" customWidth="1"/>
    <col min="42" max="42" width="10.625" style="4" customWidth="1"/>
    <col min="43" max="43" width="2.625" style="4" customWidth="1"/>
    <col min="44" max="44" width="10.625" style="4" customWidth="1"/>
    <col min="45" max="45" width="14.625" style="4" customWidth="1"/>
    <col min="46" max="16384" width="10.625" style="4" customWidth="1"/>
  </cols>
  <sheetData>
    <row r="1" spans="1:30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106</v>
      </c>
      <c r="Q1" s="4" t="s">
        <v>107</v>
      </c>
      <c r="R1" s="4" t="s">
        <v>108</v>
      </c>
      <c r="S1" s="4" t="s">
        <v>109</v>
      </c>
      <c r="T1" s="4" t="s">
        <v>110</v>
      </c>
      <c r="U1" s="4" t="s">
        <v>111</v>
      </c>
      <c r="V1" s="4" t="s">
        <v>112</v>
      </c>
      <c r="W1" s="4" t="s">
        <v>113</v>
      </c>
      <c r="X1" s="4" t="s">
        <v>114</v>
      </c>
      <c r="Z1" s="4" t="s">
        <v>115</v>
      </c>
      <c r="AA1" s="4" t="s">
        <v>116</v>
      </c>
      <c r="AB1" s="26" t="s">
        <v>117</v>
      </c>
      <c r="AD1" s="4" t="s">
        <v>118</v>
      </c>
    </row>
    <row r="2" spans="1:46" ht="14.25">
      <c r="A2" s="27">
        <v>42795</v>
      </c>
      <c r="B2" s="4">
        <v>8000</v>
      </c>
      <c r="C2" s="4">
        <f>B2*AA2</f>
        <v>9.333333333333334</v>
      </c>
      <c r="D2" s="4">
        <v>77700</v>
      </c>
      <c r="E2" s="4">
        <f>D2*AA2</f>
        <v>90.65</v>
      </c>
      <c r="F2" s="4">
        <v>5000</v>
      </c>
      <c r="G2" s="4">
        <f>F2*AA2</f>
        <v>5.833333333333334</v>
      </c>
      <c r="I2" s="4">
        <f>H2*AA2</f>
        <v>0</v>
      </c>
      <c r="K2" s="4">
        <f>J2*AA2</f>
        <v>0</v>
      </c>
      <c r="M2" s="4">
        <f>L2*AA2</f>
        <v>0</v>
      </c>
      <c r="O2" s="4">
        <f>N2*AA2</f>
        <v>0</v>
      </c>
      <c r="T2" s="4" t="s">
        <v>119</v>
      </c>
      <c r="Y2" s="4" t="s">
        <v>162</v>
      </c>
      <c r="Z2" s="4">
        <f>B2+D2+F2+H2+J2+L2+N2</f>
        <v>90700</v>
      </c>
      <c r="AA2" s="4">
        <f>(700/600000)</f>
        <v>0.0011666666666666668</v>
      </c>
      <c r="AB2" s="24">
        <f>Z2*AA2</f>
        <v>105.81666666666668</v>
      </c>
      <c r="AD2" s="4">
        <v>6</v>
      </c>
      <c r="AF2" s="4" t="s">
        <v>121</v>
      </c>
      <c r="AG2" s="4">
        <f>SUM(AB2:AB994)</f>
        <v>4718.006037181546</v>
      </c>
      <c r="AI2" s="4" t="s">
        <v>122</v>
      </c>
      <c r="AJ2" s="28">
        <f>AG2/AG5</f>
        <v>152.1937431348886</v>
      </c>
      <c r="AL2" s="4" t="s">
        <v>123</v>
      </c>
      <c r="AM2" s="4">
        <f>COUNTBLANK(L2:L40)-COUNTBLANK(A2:A40)</f>
        <v>7</v>
      </c>
      <c r="AN2" s="29"/>
      <c r="AO2" s="29" t="s">
        <v>164</v>
      </c>
      <c r="AP2" s="29">
        <f>SUMIF(AD2:AD44,"=8",AB2:AB44)</f>
        <v>3283.5396000000005</v>
      </c>
      <c r="AQ2" s="29"/>
      <c r="AR2" s="29"/>
      <c r="AS2" s="29" t="s">
        <v>125</v>
      </c>
      <c r="AT2" s="29">
        <f>SUMIF(AD2:AD44,"=6",AB2:AB44)</f>
        <v>1175.7083333333333</v>
      </c>
    </row>
    <row r="3" spans="1:46" ht="14.25">
      <c r="A3" s="27">
        <v>42796</v>
      </c>
      <c r="C3" s="4">
        <f>B3*AA3</f>
        <v>0</v>
      </c>
      <c r="D3" s="4">
        <f>7900+8900+1300</f>
        <v>18100</v>
      </c>
      <c r="E3" s="4">
        <f>D3*AA3</f>
        <v>21.116666666666667</v>
      </c>
      <c r="F3" s="4">
        <f>8900+6000</f>
        <v>14900</v>
      </c>
      <c r="G3" s="4">
        <f>F3*AA3</f>
        <v>17.383333333333336</v>
      </c>
      <c r="I3" s="4">
        <f>H3*AA3</f>
        <v>0</v>
      </c>
      <c r="K3" s="4">
        <f>J3*AA3</f>
        <v>0</v>
      </c>
      <c r="M3" s="4">
        <f>L3*AA3</f>
        <v>0</v>
      </c>
      <c r="O3" s="4">
        <f>N3*AA3</f>
        <v>0</v>
      </c>
      <c r="T3" s="4" t="s">
        <v>119</v>
      </c>
      <c r="Y3" s="4" t="s">
        <v>162</v>
      </c>
      <c r="Z3" s="4">
        <f>B3+D3+F3+H3+J3+L3+N3</f>
        <v>33000</v>
      </c>
      <c r="AA3" s="4">
        <f>(700/600000)</f>
        <v>0.0011666666666666668</v>
      </c>
      <c r="AB3" s="24">
        <f>Z3*AA3</f>
        <v>38.5</v>
      </c>
      <c r="AD3" s="4">
        <v>6</v>
      </c>
      <c r="AF3" s="30"/>
      <c r="AI3" s="30"/>
      <c r="AJ3" s="31"/>
      <c r="AL3" s="4" t="s">
        <v>126</v>
      </c>
      <c r="AM3" s="4">
        <f>COUNT(L2:L36)</f>
        <v>24</v>
      </c>
      <c r="AO3" s="29" t="s">
        <v>165</v>
      </c>
      <c r="AP3" s="29">
        <f>_xlfn.COUNTIFS(A2:A44,"&lt;&gt;''",AD2:AD44,"=8")</f>
        <v>19</v>
      </c>
      <c r="AQ3" s="29"/>
      <c r="AR3" s="29"/>
      <c r="AS3" s="29" t="s">
        <v>128</v>
      </c>
      <c r="AT3" s="29">
        <f>_xlfn.COUNTIFS(A2:A44,"&lt;&gt;''",AD2:AD44,"=6")</f>
        <v>10</v>
      </c>
    </row>
    <row r="4" spans="1:46" ht="14.25">
      <c r="A4" s="27">
        <v>42797</v>
      </c>
      <c r="B4" s="4">
        <v>8000</v>
      </c>
      <c r="C4" s="4">
        <f>B4*AA4</f>
        <v>9.333333333333334</v>
      </c>
      <c r="D4" s="4">
        <f>2900+65250+1300+6000</f>
        <v>75450</v>
      </c>
      <c r="E4" s="4">
        <f>D4*AA4</f>
        <v>88.025</v>
      </c>
      <c r="F4" s="4">
        <v>7500</v>
      </c>
      <c r="G4" s="4">
        <f>F4*AA4</f>
        <v>8.75</v>
      </c>
      <c r="I4" s="4">
        <f>H4*AA4</f>
        <v>0</v>
      </c>
      <c r="K4" s="4">
        <f>J4*AA4</f>
        <v>0</v>
      </c>
      <c r="M4" s="4">
        <f>L4*AA4</f>
        <v>0</v>
      </c>
      <c r="O4" s="4">
        <f>N4*AA4</f>
        <v>0</v>
      </c>
      <c r="T4" s="4" t="s">
        <v>119</v>
      </c>
      <c r="Y4" s="4" t="s">
        <v>162</v>
      </c>
      <c r="Z4" s="4">
        <f>B4+D4+F4+H4+J4+L4+N4</f>
        <v>90950</v>
      </c>
      <c r="AA4" s="4">
        <f>(700/600000)</f>
        <v>0.0011666666666666668</v>
      </c>
      <c r="AB4" s="24">
        <f>Z4*AA4</f>
        <v>106.10833333333335</v>
      </c>
      <c r="AD4" s="4">
        <v>6</v>
      </c>
      <c r="AL4" s="4" t="s">
        <v>130</v>
      </c>
      <c r="AM4" s="4">
        <f>COUNTA(U2:U49)</f>
        <v>0</v>
      </c>
      <c r="AO4" s="29" t="s">
        <v>166</v>
      </c>
      <c r="AP4" s="29">
        <f>AP2/AP3</f>
        <v>172.81787368421055</v>
      </c>
      <c r="AQ4" s="29"/>
      <c r="AR4" s="29"/>
      <c r="AS4" s="29" t="s">
        <v>132</v>
      </c>
      <c r="AT4" s="29">
        <f>AT2/AT3</f>
        <v>117.57083333333333</v>
      </c>
    </row>
    <row r="5" spans="1:39" ht="14.25">
      <c r="A5" s="27">
        <v>42798</v>
      </c>
      <c r="C5" s="4">
        <f>B5*AA5</f>
        <v>0</v>
      </c>
      <c r="D5" s="4">
        <v>2900</v>
      </c>
      <c r="E5" s="4">
        <f>D5*AA5</f>
        <v>3.3833333333333337</v>
      </c>
      <c r="G5" s="4">
        <f>F5*AA5</f>
        <v>0</v>
      </c>
      <c r="I5" s="4">
        <f>H5*AA5</f>
        <v>0</v>
      </c>
      <c r="K5" s="4">
        <f>J5*AA5</f>
        <v>0</v>
      </c>
      <c r="M5" s="4">
        <f>L5*AA5</f>
        <v>0</v>
      </c>
      <c r="O5" s="4">
        <f>N5*AA5</f>
        <v>0</v>
      </c>
      <c r="T5" s="4" t="s">
        <v>119</v>
      </c>
      <c r="Y5" s="4" t="s">
        <v>162</v>
      </c>
      <c r="Z5" s="4">
        <f>B5+D5+F5+H5+J5+L5+N5</f>
        <v>2900</v>
      </c>
      <c r="AA5" s="4">
        <f>(700/600000)</f>
        <v>0.0011666666666666668</v>
      </c>
      <c r="AB5" s="24">
        <f>Z5*AA5</f>
        <v>3.3833333333333337</v>
      </c>
      <c r="AD5" s="4">
        <v>6</v>
      </c>
      <c r="AF5" s="4" t="s">
        <v>134</v>
      </c>
      <c r="AG5" s="4">
        <f>COUNTA(A2:A349)</f>
        <v>31</v>
      </c>
      <c r="AL5" s="4" t="s">
        <v>135</v>
      </c>
      <c r="AM5" s="4">
        <f>COUNTA(P2:P49)</f>
        <v>4</v>
      </c>
    </row>
    <row r="6" spans="1:39" ht="14.25">
      <c r="A6" s="27">
        <v>42799</v>
      </c>
      <c r="B6" s="4">
        <f>60000+12000+6000+3000</f>
        <v>81000</v>
      </c>
      <c r="C6" s="4">
        <f>B6*AA6</f>
        <v>94.50000000000001</v>
      </c>
      <c r="D6" s="4">
        <f>5000+2000+2000</f>
        <v>9000</v>
      </c>
      <c r="E6" s="4">
        <f>D6*AA6</f>
        <v>10.5</v>
      </c>
      <c r="F6" s="4">
        <v>16000</v>
      </c>
      <c r="G6" s="4">
        <f>F6*AA6</f>
        <v>18.666666666666668</v>
      </c>
      <c r="I6" s="4">
        <f>H6*AA6</f>
        <v>0</v>
      </c>
      <c r="J6" s="4">
        <v>1000</v>
      </c>
      <c r="K6" s="4">
        <f>J6*AA6</f>
        <v>1.1666666666666667</v>
      </c>
      <c r="L6" s="4">
        <v>40000</v>
      </c>
      <c r="M6" s="4">
        <f>L6*AA6</f>
        <v>46.66666666666667</v>
      </c>
      <c r="O6" s="4">
        <f>N6*AA6</f>
        <v>0</v>
      </c>
      <c r="R6" s="4" t="s">
        <v>119</v>
      </c>
      <c r="Y6" s="4" t="s">
        <v>167</v>
      </c>
      <c r="Z6" s="4">
        <f>B6+D6+F6+H6+J6+L6+N6</f>
        <v>147000</v>
      </c>
      <c r="AA6" s="4">
        <f>(700/600000)</f>
        <v>0.0011666666666666668</v>
      </c>
      <c r="AB6" s="24">
        <f>Z6*AA6</f>
        <v>171.5</v>
      </c>
      <c r="AD6" s="4">
        <v>6</v>
      </c>
      <c r="AF6" s="30"/>
      <c r="AL6" s="4" t="s">
        <v>136</v>
      </c>
      <c r="AM6" s="4">
        <f>COUNTA(R2:R49)</f>
        <v>22</v>
      </c>
    </row>
    <row r="7" spans="1:39" ht="14.25">
      <c r="A7" s="27">
        <v>42800</v>
      </c>
      <c r="B7" s="4">
        <f>24000</f>
        <v>24000</v>
      </c>
      <c r="C7" s="4">
        <f>B7*AA7</f>
        <v>28.000000000000004</v>
      </c>
      <c r="D7" s="4">
        <f>4700+4000+2000+800+800</f>
        <v>12300</v>
      </c>
      <c r="E7" s="4">
        <f>D7*AA7</f>
        <v>14.350000000000001</v>
      </c>
      <c r="F7" s="4">
        <v>18000</v>
      </c>
      <c r="G7" s="4">
        <f>F7*AA7</f>
        <v>21</v>
      </c>
      <c r="H7" s="4">
        <v>6000</v>
      </c>
      <c r="I7" s="4">
        <f>H7*AA7</f>
        <v>7.000000000000001</v>
      </c>
      <c r="K7" s="4">
        <f>J7*AA7</f>
        <v>0</v>
      </c>
      <c r="L7" s="4">
        <v>50000</v>
      </c>
      <c r="M7" s="4">
        <f>L7*AA7</f>
        <v>58.333333333333336</v>
      </c>
      <c r="O7" s="4">
        <f>N7*AA7</f>
        <v>0</v>
      </c>
      <c r="R7" s="4" t="s">
        <v>119</v>
      </c>
      <c r="Y7" s="4" t="s">
        <v>168</v>
      </c>
      <c r="Z7" s="4">
        <f>B7+D7+F7+H7+J7+L7+N7</f>
        <v>110300</v>
      </c>
      <c r="AA7" s="4">
        <f>(700/600000)</f>
        <v>0.0011666666666666668</v>
      </c>
      <c r="AB7" s="24">
        <f>Z7*AA7</f>
        <v>128.68333333333334</v>
      </c>
      <c r="AD7" s="4">
        <v>6</v>
      </c>
      <c r="AI7" s="4" t="s">
        <v>138</v>
      </c>
      <c r="AL7" s="4" t="s">
        <v>109</v>
      </c>
      <c r="AM7" s="4">
        <f>COUNTA(S2:S49)</f>
        <v>0</v>
      </c>
    </row>
    <row r="8" spans="1:39" ht="14.25">
      <c r="A8" s="27">
        <v>42801</v>
      </c>
      <c r="B8" s="4">
        <f>30000+140000</f>
        <v>170000</v>
      </c>
      <c r="C8" s="4">
        <f>B8*AA8</f>
        <v>198.33333333333334</v>
      </c>
      <c r="D8" s="4">
        <f>1000+900+1700+20400+4900</f>
        <v>28900</v>
      </c>
      <c r="E8" s="4">
        <f>D8*AA8</f>
        <v>33.71666666666667</v>
      </c>
      <c r="F8" s="4">
        <v>12000</v>
      </c>
      <c r="G8" s="4">
        <f>F8*AA8</f>
        <v>14.000000000000002</v>
      </c>
      <c r="I8" s="4">
        <f>H8*AA8</f>
        <v>0</v>
      </c>
      <c r="K8" s="4">
        <f>J8*AA8</f>
        <v>0</v>
      </c>
      <c r="L8" s="4">
        <v>40000</v>
      </c>
      <c r="M8" s="4">
        <f>L8*AA8</f>
        <v>46.66666666666667</v>
      </c>
      <c r="O8" s="4">
        <f>N8*AA8</f>
        <v>0</v>
      </c>
      <c r="R8" s="4" t="s">
        <v>119</v>
      </c>
      <c r="Y8" s="4" t="s">
        <v>169</v>
      </c>
      <c r="Z8" s="4">
        <f>B8+D8+F8+H8+J8+L8+N8</f>
        <v>250900</v>
      </c>
      <c r="AA8" s="4">
        <f>(700/600000)</f>
        <v>0.0011666666666666668</v>
      </c>
      <c r="AB8" s="24">
        <f>Z8*AA8</f>
        <v>292.7166666666667</v>
      </c>
      <c r="AD8" s="4">
        <v>6</v>
      </c>
      <c r="AF8" s="4" t="s">
        <v>140</v>
      </c>
      <c r="AG8" s="26">
        <f>SUM(M2:M994)</f>
        <v>1427.6874378952793</v>
      </c>
      <c r="AI8" s="4" t="s">
        <v>103</v>
      </c>
      <c r="AJ8" s="26">
        <f>AG8/$AG$5</f>
        <v>46.05443348049288</v>
      </c>
      <c r="AL8" s="4" t="s">
        <v>141</v>
      </c>
      <c r="AM8" s="4">
        <f>COUNTA(Q2:Q49)</f>
        <v>0</v>
      </c>
    </row>
    <row r="9" spans="1:39" ht="14.25">
      <c r="A9" s="27">
        <v>42802</v>
      </c>
      <c r="B9" s="1">
        <f>4600+18000</f>
        <v>22600</v>
      </c>
      <c r="C9" s="4">
        <f>B9*AA9</f>
        <v>26.366666666666667</v>
      </c>
      <c r="D9" s="4">
        <f>600+2000+3500+5000+2000</f>
        <v>13100</v>
      </c>
      <c r="E9" s="4">
        <f>D9*AA9</f>
        <v>15.283333333333335</v>
      </c>
      <c r="F9" s="4">
        <v>26000</v>
      </c>
      <c r="G9" s="4">
        <f>F9*AA9</f>
        <v>30.333333333333336</v>
      </c>
      <c r="I9" s="4">
        <f>H9*AA9</f>
        <v>0</v>
      </c>
      <c r="K9" s="4">
        <f>J9*AA9</f>
        <v>0</v>
      </c>
      <c r="M9" s="4">
        <f>L9*AA9</f>
        <v>0</v>
      </c>
      <c r="O9" s="4">
        <f>N9*AA9</f>
        <v>0</v>
      </c>
      <c r="R9" s="4" t="s">
        <v>119</v>
      </c>
      <c r="Y9" s="4" t="s">
        <v>170</v>
      </c>
      <c r="Z9" s="4">
        <f>B9+D9+F9+H9+J9+L9+N9</f>
        <v>61700</v>
      </c>
      <c r="AA9" s="4">
        <f>(700/600000)</f>
        <v>0.0011666666666666668</v>
      </c>
      <c r="AB9" s="24">
        <f>Z9*AA9</f>
        <v>71.98333333333333</v>
      </c>
      <c r="AD9" s="4">
        <v>6</v>
      </c>
      <c r="AF9" s="4" t="s">
        <v>143</v>
      </c>
      <c r="AG9" s="26">
        <f>SUM(C2:C994)</f>
        <v>943.9217552687404</v>
      </c>
      <c r="AI9" s="4" t="s">
        <v>93</v>
      </c>
      <c r="AJ9" s="4">
        <f>AG9/$AG$5</f>
        <v>30.449088879636786</v>
      </c>
      <c r="AL9" s="4" t="s">
        <v>144</v>
      </c>
      <c r="AM9" s="4">
        <f>COUNTA(W2:W50)</f>
        <v>1</v>
      </c>
    </row>
    <row r="10" spans="1:39" ht="14.25">
      <c r="A10" s="27">
        <v>42803</v>
      </c>
      <c r="C10" s="4">
        <f>B10*AA10</f>
        <v>0</v>
      </c>
      <c r="D10" s="4">
        <f>5000+2000+5000</f>
        <v>12000</v>
      </c>
      <c r="E10" s="4">
        <f>D10*AA10</f>
        <v>14.000000000000002</v>
      </c>
      <c r="F10" s="4">
        <v>26000</v>
      </c>
      <c r="G10" s="4">
        <f>F10*AA10</f>
        <v>30.333333333333336</v>
      </c>
      <c r="H10" s="4">
        <v>6000</v>
      </c>
      <c r="I10" s="4">
        <f>H10*AA10</f>
        <v>7.000000000000001</v>
      </c>
      <c r="K10" s="4">
        <f>J10*AA10</f>
        <v>0</v>
      </c>
      <c r="M10" s="4">
        <f>L10*AA10</f>
        <v>0</v>
      </c>
      <c r="O10" s="4">
        <f>N10*AA10</f>
        <v>0</v>
      </c>
      <c r="R10" s="4" t="s">
        <v>119</v>
      </c>
      <c r="Y10" s="4" t="s">
        <v>171</v>
      </c>
      <c r="Z10" s="4">
        <f>B10+D10+F10+H10+J10+L10+N10</f>
        <v>44000</v>
      </c>
      <c r="AA10" s="4">
        <f>(700/600000)</f>
        <v>0.0011666666666666668</v>
      </c>
      <c r="AB10" s="24">
        <f>Z10*AA10</f>
        <v>51.333333333333336</v>
      </c>
      <c r="AD10" s="4">
        <v>6</v>
      </c>
      <c r="AF10" s="4" t="s">
        <v>145</v>
      </c>
      <c r="AG10" s="26">
        <f>SUM(E2:E994)</f>
        <v>771.2268440175261</v>
      </c>
      <c r="AI10" s="4" t="s">
        <v>146</v>
      </c>
      <c r="AJ10" s="4">
        <f>AG10/$AG$5</f>
        <v>24.878285290887938</v>
      </c>
      <c r="AL10" s="4" t="s">
        <v>147</v>
      </c>
      <c r="AM10" s="4">
        <f>COUNTA(V2:V51)</f>
        <v>0</v>
      </c>
    </row>
    <row r="11" spans="1:39" ht="14.25">
      <c r="A11" s="27">
        <v>42804</v>
      </c>
      <c r="C11" s="4">
        <f>B11*AA11</f>
        <v>0</v>
      </c>
      <c r="D11" s="4">
        <f>8000+6500+24800+21000</f>
        <v>60300</v>
      </c>
      <c r="E11" s="4">
        <f>D11*AA11</f>
        <v>70.35000000000001</v>
      </c>
      <c r="G11" s="4">
        <f>F11*AA11</f>
        <v>0</v>
      </c>
      <c r="I11" s="4">
        <f>H11*AA11</f>
        <v>0</v>
      </c>
      <c r="K11" s="4">
        <f>J11*AA11</f>
        <v>0</v>
      </c>
      <c r="L11" s="4">
        <v>40000</v>
      </c>
      <c r="M11" s="4">
        <f>L11*AA11</f>
        <v>46.66666666666667</v>
      </c>
      <c r="O11" s="4">
        <f>N11*AA11</f>
        <v>0</v>
      </c>
      <c r="R11" s="4" t="s">
        <v>119</v>
      </c>
      <c r="Y11" s="33" t="s">
        <v>171</v>
      </c>
      <c r="Z11" s="4">
        <f>B11+D11+F11+H11+J11+L11+N11</f>
        <v>100300</v>
      </c>
      <c r="AA11" s="4">
        <f>(700/600000)</f>
        <v>0.0011666666666666668</v>
      </c>
      <c r="AB11" s="24">
        <f>Z11*AA11</f>
        <v>117.01666666666668</v>
      </c>
      <c r="AD11" s="4">
        <v>6</v>
      </c>
      <c r="AF11" s="4" t="s">
        <v>149</v>
      </c>
      <c r="AG11" s="26">
        <f>SUM(G2:G994)</f>
        <v>319.61</v>
      </c>
      <c r="AI11" s="4" t="s">
        <v>150</v>
      </c>
      <c r="AJ11" s="26">
        <f>AG11/$AG$5</f>
        <v>10.31</v>
      </c>
      <c r="AL11" s="4" t="s">
        <v>110</v>
      </c>
      <c r="AM11" s="4">
        <f>COUNTA(T2:T52)</f>
        <v>4</v>
      </c>
    </row>
    <row r="12" spans="1:36" ht="14.25">
      <c r="A12" s="5"/>
      <c r="B12" s="4">
        <v>70000</v>
      </c>
      <c r="C12" s="4">
        <f>B12*AA12</f>
        <v>81.66666666666667</v>
      </c>
      <c r="D12" s="4">
        <f>4000</f>
        <v>4000</v>
      </c>
      <c r="E12" s="4">
        <f>D12*AA12</f>
        <v>4.666666666666667</v>
      </c>
      <c r="G12" s="4">
        <f>F12*AA12</f>
        <v>0</v>
      </c>
      <c r="I12" s="4">
        <f>H12*AA12</f>
        <v>0</v>
      </c>
      <c r="J12" s="4">
        <v>2000</v>
      </c>
      <c r="K12" s="4">
        <f>J12*AA12</f>
        <v>2.3333333333333335</v>
      </c>
      <c r="M12" s="4">
        <f>L12*AA12</f>
        <v>0</v>
      </c>
      <c r="O12" s="4">
        <f>N12*AA12</f>
        <v>0</v>
      </c>
      <c r="Y12" s="33" t="s">
        <v>172</v>
      </c>
      <c r="Z12" s="4">
        <f>B12+D12+F12+H12+J12+L12+N12</f>
        <v>76000</v>
      </c>
      <c r="AA12" s="4">
        <f>(700/600000)</f>
        <v>0.0011666666666666668</v>
      </c>
      <c r="AB12" s="24">
        <f>Z12*AA12</f>
        <v>88.66666666666667</v>
      </c>
      <c r="AD12" s="4">
        <v>6</v>
      </c>
      <c r="AF12" s="4" t="s">
        <v>151</v>
      </c>
      <c r="AG12" s="26">
        <f>SUM(K2:K994)</f>
        <v>67.5</v>
      </c>
      <c r="AI12" s="4" t="s">
        <v>101</v>
      </c>
      <c r="AJ12" s="26">
        <f>AG12/$AG$5</f>
        <v>2.1774193548387095</v>
      </c>
    </row>
    <row r="13" spans="1:36" ht="14.25">
      <c r="A13" s="27">
        <v>42805</v>
      </c>
      <c r="B13" s="1"/>
      <c r="C13" s="4">
        <f>B13*AA13</f>
        <v>0</v>
      </c>
      <c r="D13" s="4">
        <f>3.2+3</f>
        <v>6.2</v>
      </c>
      <c r="E13" s="4">
        <f>D13*AA13</f>
        <v>19.840000000000003</v>
      </c>
      <c r="F13" s="4">
        <v>8</v>
      </c>
      <c r="G13" s="4">
        <f>F13*AA13</f>
        <v>25.6</v>
      </c>
      <c r="I13" s="4">
        <f>H13*AA13</f>
        <v>0</v>
      </c>
      <c r="K13" s="4">
        <f>J13*AA13</f>
        <v>0</v>
      </c>
      <c r="L13" s="4">
        <v>10</v>
      </c>
      <c r="M13" s="4">
        <f>L13*AA13</f>
        <v>32</v>
      </c>
      <c r="O13" s="4">
        <f>N13*AA13</f>
        <v>0</v>
      </c>
      <c r="R13" s="4" t="s">
        <v>119</v>
      </c>
      <c r="Y13" s="33"/>
      <c r="Z13" s="4">
        <f>B13+D13+F13+H13+J13+L13+N13</f>
        <v>24.2</v>
      </c>
      <c r="AA13" s="4">
        <f>3.2</f>
        <v>3.2</v>
      </c>
      <c r="AB13" s="24">
        <f>Z13*AA13</f>
        <v>77.44</v>
      </c>
      <c r="AD13" s="4">
        <v>8</v>
      </c>
      <c r="AF13" s="4" t="s">
        <v>153</v>
      </c>
      <c r="AG13" s="4">
        <f>SUM(I2:I994)</f>
        <v>1076.4</v>
      </c>
      <c r="AI13" s="4" t="s">
        <v>99</v>
      </c>
      <c r="AJ13" s="26">
        <f>AG13/$AG$5</f>
        <v>34.722580645161294</v>
      </c>
    </row>
    <row r="14" spans="1:33" ht="14.25">
      <c r="A14" s="27">
        <v>42806</v>
      </c>
      <c r="C14" s="4">
        <f>B14*AA14</f>
        <v>0</v>
      </c>
      <c r="D14" s="4">
        <v>3.2</v>
      </c>
      <c r="E14" s="4">
        <f>D14*AA14</f>
        <v>10.240000000000002</v>
      </c>
      <c r="F14" s="4">
        <v>8</v>
      </c>
      <c r="G14" s="4">
        <f>F14*AA14</f>
        <v>25.6</v>
      </c>
      <c r="I14" s="4">
        <f>H14*AA14</f>
        <v>0</v>
      </c>
      <c r="K14" s="4">
        <f>J14*AA14</f>
        <v>0</v>
      </c>
      <c r="L14" s="4">
        <v>10</v>
      </c>
      <c r="M14" s="4">
        <f>L14*AA14</f>
        <v>32</v>
      </c>
      <c r="O14" s="4">
        <f>N14*AA14</f>
        <v>0</v>
      </c>
      <c r="R14" s="4" t="s">
        <v>119</v>
      </c>
      <c r="Y14" s="33" t="s">
        <v>173</v>
      </c>
      <c r="Z14" s="4">
        <f>B14+D14+F14+H14+J14+L14+N14</f>
        <v>21.2</v>
      </c>
      <c r="AA14" s="4">
        <f>3.2</f>
        <v>3.2</v>
      </c>
      <c r="AB14" s="24">
        <f>Z14*AA14</f>
        <v>67.84</v>
      </c>
      <c r="AD14" s="4">
        <v>8</v>
      </c>
      <c r="AF14" s="4" t="s">
        <v>163</v>
      </c>
      <c r="AG14" s="26">
        <f>SUM(O2:O994)</f>
        <v>111.66</v>
      </c>
    </row>
    <row r="15" spans="1:33" ht="14.25">
      <c r="A15" s="27">
        <v>42807</v>
      </c>
      <c r="C15" s="4">
        <f>B15*AA15</f>
        <v>0</v>
      </c>
      <c r="D15" s="4">
        <f>1.8+5</f>
        <v>6.8</v>
      </c>
      <c r="E15" s="4">
        <f>D15*AA15</f>
        <v>21.76</v>
      </c>
      <c r="F15" s="4">
        <v>10</v>
      </c>
      <c r="G15" s="4">
        <f>F15*AA15</f>
        <v>32</v>
      </c>
      <c r="H15" s="4">
        <f>110*2+20*2+2</f>
        <v>262</v>
      </c>
      <c r="I15" s="4">
        <f>H15*AA15</f>
        <v>838.4000000000001</v>
      </c>
      <c r="K15" s="4">
        <f>J15*AA15</f>
        <v>0</v>
      </c>
      <c r="L15" s="4">
        <v>26</v>
      </c>
      <c r="M15" s="4">
        <f>L15*AA15</f>
        <v>83.2</v>
      </c>
      <c r="O15" s="4">
        <f>N15*AA15</f>
        <v>0</v>
      </c>
      <c r="P15" s="4" t="s">
        <v>119</v>
      </c>
      <c r="Y15" s="33" t="s">
        <v>174</v>
      </c>
      <c r="Z15" s="4">
        <f>B15+D15+F15+H15+J15+L15+N15</f>
        <v>304.8</v>
      </c>
      <c r="AA15" s="4">
        <f>3.2</f>
        <v>3.2</v>
      </c>
      <c r="AB15" s="24">
        <f>Z15*AA15</f>
        <v>975.3600000000001</v>
      </c>
      <c r="AD15" s="4">
        <v>8</v>
      </c>
      <c r="AF15" s="30"/>
      <c r="AG15" s="30"/>
    </row>
    <row r="16" spans="1:32" ht="14.25">
      <c r="A16" s="27">
        <v>42808</v>
      </c>
      <c r="C16" s="4">
        <f>B16*AA16</f>
        <v>0</v>
      </c>
      <c r="D16" s="4">
        <v>3.5</v>
      </c>
      <c r="E16" s="4">
        <f>D16*AA16</f>
        <v>11.200000000000001</v>
      </c>
      <c r="F16" s="4">
        <v>25</v>
      </c>
      <c r="G16" s="4">
        <f>F16*AA16</f>
        <v>80</v>
      </c>
      <c r="I16" s="4">
        <f>H16*AA16</f>
        <v>0</v>
      </c>
      <c r="K16" s="4">
        <f>J16*AA16</f>
        <v>0</v>
      </c>
      <c r="L16" s="4">
        <v>10</v>
      </c>
      <c r="M16" s="4">
        <f>L16*AA16</f>
        <v>32</v>
      </c>
      <c r="O16" s="4">
        <f>N16*AA16</f>
        <v>0</v>
      </c>
      <c r="R16" s="4" t="s">
        <v>119</v>
      </c>
      <c r="Y16" s="33" t="s">
        <v>175</v>
      </c>
      <c r="Z16" s="4">
        <f>B16+D16+F16+H16+J16+L16+N16</f>
        <v>38.5</v>
      </c>
      <c r="AA16" s="4">
        <f>3.2</f>
        <v>3.2</v>
      </c>
      <c r="AB16" s="24">
        <f>Z16*AA16</f>
        <v>123.2</v>
      </c>
      <c r="AD16" s="4">
        <v>8</v>
      </c>
      <c r="AF16" s="30"/>
    </row>
    <row r="17" spans="1:30" ht="14.25">
      <c r="A17" s="27">
        <v>42809</v>
      </c>
      <c r="C17" s="4">
        <f>B17*AA17</f>
        <v>0</v>
      </c>
      <c r="D17" s="4">
        <v>3</v>
      </c>
      <c r="E17" s="4">
        <f>D17*AA17</f>
        <v>9.600000000000001</v>
      </c>
      <c r="G17" s="4">
        <f>F17*AA17</f>
        <v>0</v>
      </c>
      <c r="I17" s="4">
        <f>H17*AA17</f>
        <v>0</v>
      </c>
      <c r="K17" s="4">
        <f>J17*AA17</f>
        <v>0</v>
      </c>
      <c r="L17" s="4">
        <v>12</v>
      </c>
      <c r="M17" s="4">
        <f>L17*AA17</f>
        <v>38.400000000000006</v>
      </c>
      <c r="O17" s="4">
        <f>N17*AA17</f>
        <v>0</v>
      </c>
      <c r="R17" s="4" t="s">
        <v>119</v>
      </c>
      <c r="Y17" s="33" t="s">
        <v>175</v>
      </c>
      <c r="Z17" s="4">
        <f>B17+D17+F17+H17+J17+L17+N17</f>
        <v>15</v>
      </c>
      <c r="AA17" s="4">
        <f>3.2</f>
        <v>3.2</v>
      </c>
      <c r="AB17" s="24">
        <f>Z17*AA17</f>
        <v>48</v>
      </c>
      <c r="AD17" s="4">
        <v>8</v>
      </c>
    </row>
    <row r="18" spans="1:30" ht="14.25">
      <c r="A18" s="27">
        <v>42810</v>
      </c>
      <c r="C18" s="4">
        <f>B18*AA18</f>
        <v>0</v>
      </c>
      <c r="D18" s="4">
        <v>4</v>
      </c>
      <c r="E18" s="4">
        <f>D18*AA18</f>
        <v>12.8</v>
      </c>
      <c r="G18" s="4">
        <f>F18*AA18</f>
        <v>0</v>
      </c>
      <c r="I18" s="4">
        <f>H18*AA18</f>
        <v>0</v>
      </c>
      <c r="J18" s="4">
        <v>20</v>
      </c>
      <c r="K18" s="4">
        <f>J18*AA18</f>
        <v>64</v>
      </c>
      <c r="L18" s="4">
        <v>30</v>
      </c>
      <c r="M18" s="4">
        <f>L18*AA18</f>
        <v>96</v>
      </c>
      <c r="O18" s="4">
        <f>N18*AA18</f>
        <v>0</v>
      </c>
      <c r="P18" s="4" t="s">
        <v>119</v>
      </c>
      <c r="Y18" s="33" t="s">
        <v>175</v>
      </c>
      <c r="Z18" s="4">
        <f>B18+D18+F18+H18+J18+L18+N18</f>
        <v>54</v>
      </c>
      <c r="AA18" s="4">
        <f>3.2</f>
        <v>3.2</v>
      </c>
      <c r="AB18" s="24">
        <f>Z18*AA18</f>
        <v>172.8</v>
      </c>
      <c r="AD18" s="4">
        <v>8</v>
      </c>
    </row>
    <row r="19" spans="1:30" ht="14.25">
      <c r="A19" s="27">
        <v>42811</v>
      </c>
      <c r="C19" s="4">
        <f>B19*AA19</f>
        <v>0</v>
      </c>
      <c r="D19" s="4">
        <v>4</v>
      </c>
      <c r="E19" s="4">
        <f>D19*AA19</f>
        <v>12.8</v>
      </c>
      <c r="G19" s="4">
        <f>F19*AA19</f>
        <v>0</v>
      </c>
      <c r="H19" s="4">
        <f>20+20+10+10+3+3+2+2</f>
        <v>70</v>
      </c>
      <c r="I19" s="4">
        <f>H19*AA19</f>
        <v>224</v>
      </c>
      <c r="K19" s="4">
        <f>J19*AA19</f>
        <v>0</v>
      </c>
      <c r="L19" s="4">
        <v>30</v>
      </c>
      <c r="M19" s="4">
        <f>L19*AA19</f>
        <v>96</v>
      </c>
      <c r="O19" s="4">
        <f>N19*AA19</f>
        <v>0</v>
      </c>
      <c r="P19" s="4" t="s">
        <v>119</v>
      </c>
      <c r="Y19" s="33" t="s">
        <v>175</v>
      </c>
      <c r="Z19" s="4">
        <f>B19+D19+F19+H19+J19+L19+N19</f>
        <v>104</v>
      </c>
      <c r="AA19" s="4">
        <f>3.2</f>
        <v>3.2</v>
      </c>
      <c r="AB19" s="24">
        <f>Z19*AA19</f>
        <v>332.8</v>
      </c>
      <c r="AD19" s="4">
        <v>8</v>
      </c>
    </row>
    <row r="20" spans="1:30" ht="14.25">
      <c r="A20" s="27">
        <v>42812</v>
      </c>
      <c r="C20" s="4">
        <f>B20*AA20</f>
        <v>0</v>
      </c>
      <c r="E20" s="4">
        <f>D20*AA20</f>
        <v>0</v>
      </c>
      <c r="G20" s="4">
        <f>F20*AA20</f>
        <v>0</v>
      </c>
      <c r="I20" s="4">
        <f>H20*AA20</f>
        <v>0</v>
      </c>
      <c r="K20" s="4">
        <f>J20*AA20</f>
        <v>0</v>
      </c>
      <c r="L20" s="4">
        <v>30</v>
      </c>
      <c r="M20" s="4">
        <f>L20*AA20</f>
        <v>96</v>
      </c>
      <c r="O20" s="4">
        <f>N20*AA20</f>
        <v>0</v>
      </c>
      <c r="P20" s="4" t="s">
        <v>119</v>
      </c>
      <c r="Y20" s="33" t="s">
        <v>175</v>
      </c>
      <c r="Z20" s="4">
        <f>B20+D20+F20+H20+J20+L20+N20</f>
        <v>30</v>
      </c>
      <c r="AA20" s="4">
        <f>3.2</f>
        <v>3.2</v>
      </c>
      <c r="AB20" s="24">
        <f>Z20*AA20</f>
        <v>96</v>
      </c>
      <c r="AD20" s="4">
        <v>8</v>
      </c>
    </row>
    <row r="21" spans="1:30" ht="14.25">
      <c r="A21" s="27">
        <v>42813</v>
      </c>
      <c r="B21" s="4">
        <f>20+50</f>
        <v>70</v>
      </c>
      <c r="C21" s="4">
        <f>B21*AA21</f>
        <v>224</v>
      </c>
      <c r="D21" s="4">
        <f>5.8+5.85</f>
        <v>11.649999999999999</v>
      </c>
      <c r="E21" s="4">
        <f>D21*AA21</f>
        <v>37.279999999999994</v>
      </c>
      <c r="G21" s="4">
        <f>F21*AA21</f>
        <v>0</v>
      </c>
      <c r="I21" s="4">
        <f>H21*AA21</f>
        <v>0</v>
      </c>
      <c r="K21" s="4">
        <f>J21*AA21</f>
        <v>0</v>
      </c>
      <c r="L21" s="4">
        <v>17</v>
      </c>
      <c r="M21" s="4">
        <f>L21*AA21</f>
        <v>54.400000000000006</v>
      </c>
      <c r="O21" s="4">
        <f>N21*AA21</f>
        <v>0</v>
      </c>
      <c r="R21" s="4" t="s">
        <v>119</v>
      </c>
      <c r="Y21" s="33" t="s">
        <v>176</v>
      </c>
      <c r="Z21" s="4">
        <f>B21+D21+F21+H21+J21+L21+N21</f>
        <v>98.65</v>
      </c>
      <c r="AA21" s="4">
        <f>3.2</f>
        <v>3.2</v>
      </c>
      <c r="AB21" s="24">
        <f>Z21*AA21</f>
        <v>315.68000000000006</v>
      </c>
      <c r="AD21" s="4">
        <v>8</v>
      </c>
    </row>
    <row r="22" spans="1:30" ht="14.25">
      <c r="A22" s="27">
        <v>42814</v>
      </c>
      <c r="C22" s="4">
        <f>B22*AA22</f>
        <v>0</v>
      </c>
      <c r="D22" s="4">
        <f>11.45+1.85</f>
        <v>13.299999999999999</v>
      </c>
      <c r="E22" s="4">
        <f>D22*AA22</f>
        <v>42.56</v>
      </c>
      <c r="G22" s="4">
        <f>F22*AA22</f>
        <v>0</v>
      </c>
      <c r="I22" s="4">
        <f>H22*AA22</f>
        <v>0</v>
      </c>
      <c r="K22" s="4">
        <f>J22*AA22</f>
        <v>0</v>
      </c>
      <c r="L22" s="4">
        <v>17</v>
      </c>
      <c r="M22" s="4">
        <f>L22*AA22</f>
        <v>54.400000000000006</v>
      </c>
      <c r="O22" s="4">
        <f>N22*AA22</f>
        <v>0</v>
      </c>
      <c r="R22" s="4" t="s">
        <v>119</v>
      </c>
      <c r="Y22" s="33" t="s">
        <v>177</v>
      </c>
      <c r="Z22" s="4">
        <f>B22+D22+F22+H22+J22+L22+N22</f>
        <v>30.299999999999997</v>
      </c>
      <c r="AA22" s="4">
        <f>3.2</f>
        <v>3.2</v>
      </c>
      <c r="AB22" s="24">
        <f>Z22*AA22</f>
        <v>96.96</v>
      </c>
      <c r="AD22" s="4">
        <v>8</v>
      </c>
    </row>
    <row r="23" spans="1:30" ht="14.25">
      <c r="A23" s="27">
        <v>42815</v>
      </c>
      <c r="C23" s="4">
        <f>B23*AA23</f>
        <v>0</v>
      </c>
      <c r="D23" s="4">
        <v>5</v>
      </c>
      <c r="E23" s="4">
        <f>D23*AA23</f>
        <v>16</v>
      </c>
      <c r="G23" s="4">
        <f>F23*AA23</f>
        <v>0</v>
      </c>
      <c r="I23" s="4">
        <f>H23*AA23</f>
        <v>0</v>
      </c>
      <c r="K23" s="4">
        <f>J23*AA23</f>
        <v>0</v>
      </c>
      <c r="L23" s="4">
        <v>17</v>
      </c>
      <c r="M23" s="4">
        <f>L23*AA23</f>
        <v>54.400000000000006</v>
      </c>
      <c r="O23" s="4">
        <f>N23*AA23</f>
        <v>0</v>
      </c>
      <c r="R23" s="4" t="s">
        <v>119</v>
      </c>
      <c r="Y23" s="33" t="s">
        <v>177</v>
      </c>
      <c r="Z23" s="4">
        <f>B23+D23+F23+H23+J23+L23+N23</f>
        <v>22</v>
      </c>
      <c r="AA23" s="4">
        <f>3.2</f>
        <v>3.2</v>
      </c>
      <c r="AB23" s="24">
        <f>Z23*AA23</f>
        <v>70.4</v>
      </c>
      <c r="AD23" s="4">
        <v>8</v>
      </c>
    </row>
    <row r="24" spans="1:30" ht="14.25">
      <c r="A24" s="27">
        <v>42816</v>
      </c>
      <c r="C24" s="4">
        <f>B24*AA24</f>
        <v>0</v>
      </c>
      <c r="D24" s="4">
        <f>3.5+2.4</f>
        <v>5.9</v>
      </c>
      <c r="E24" s="4">
        <f>D24*AA24</f>
        <v>18.880000000000003</v>
      </c>
      <c r="G24" s="4">
        <f>F24*AA24</f>
        <v>0</v>
      </c>
      <c r="I24" s="4">
        <f>H24*AA24</f>
        <v>0</v>
      </c>
      <c r="K24" s="4">
        <f>J24*AA24</f>
        <v>0</v>
      </c>
      <c r="L24" s="4">
        <v>17</v>
      </c>
      <c r="M24" s="4">
        <f>L24*AA24</f>
        <v>54.400000000000006</v>
      </c>
      <c r="O24" s="4">
        <f>N24*AA24</f>
        <v>0</v>
      </c>
      <c r="R24" s="4" t="s">
        <v>119</v>
      </c>
      <c r="Y24" s="33" t="s">
        <v>177</v>
      </c>
      <c r="Z24" s="4">
        <f>B24+D24+F24+H24+J24+L24+N24</f>
        <v>22.9</v>
      </c>
      <c r="AA24" s="4">
        <f>3.2</f>
        <v>3.2</v>
      </c>
      <c r="AB24" s="24">
        <f>Z24*AA24</f>
        <v>73.28</v>
      </c>
      <c r="AD24" s="4">
        <v>8</v>
      </c>
    </row>
    <row r="25" spans="1:30" ht="14.25">
      <c r="A25" s="27">
        <v>42817</v>
      </c>
      <c r="B25" s="4">
        <f>1+4</f>
        <v>5</v>
      </c>
      <c r="C25" s="4">
        <f>B25*AA25</f>
        <v>16</v>
      </c>
      <c r="D25" s="4">
        <f>1.55+7.27+3.3</f>
        <v>12.120000000000001</v>
      </c>
      <c r="E25" s="4">
        <f>D25*AA25</f>
        <v>38.784000000000006</v>
      </c>
      <c r="G25" s="4">
        <f>F25*AA25</f>
        <v>0</v>
      </c>
      <c r="I25" s="4">
        <f>H25*AA25</f>
        <v>0</v>
      </c>
      <c r="K25" s="4">
        <f>J25*AA25</f>
        <v>0</v>
      </c>
      <c r="L25" s="4">
        <v>17</v>
      </c>
      <c r="M25" s="4">
        <f>L25*AA25</f>
        <v>54.400000000000006</v>
      </c>
      <c r="N25" s="4">
        <v>3.3</v>
      </c>
      <c r="O25" s="4">
        <f>N25*AA25</f>
        <v>10.56</v>
      </c>
      <c r="R25" s="4" t="s">
        <v>119</v>
      </c>
      <c r="Y25" s="33" t="s">
        <v>177</v>
      </c>
      <c r="Z25" s="4">
        <f>B25+D25+F25+H25+J25+L25+N25</f>
        <v>37.42</v>
      </c>
      <c r="AA25" s="4">
        <f>3.2</f>
        <v>3.2</v>
      </c>
      <c r="AB25" s="24">
        <f>Z25*AA25</f>
        <v>119.74400000000001</v>
      </c>
      <c r="AD25" s="4">
        <v>8</v>
      </c>
    </row>
    <row r="26" spans="1:30" ht="14.25">
      <c r="A26" s="27">
        <v>42818</v>
      </c>
      <c r="C26" s="4">
        <f>B26*AA26</f>
        <v>0</v>
      </c>
      <c r="D26" s="4">
        <f>1+0.6+1.91</f>
        <v>3.5100000000000002</v>
      </c>
      <c r="E26" s="4">
        <f>D26*AA26</f>
        <v>11.828700000000001</v>
      </c>
      <c r="G26" s="4">
        <f>F26*AA26</f>
        <v>0</v>
      </c>
      <c r="I26" s="4">
        <f>H26*AA26</f>
        <v>0</v>
      </c>
      <c r="K26" s="4">
        <f>J26*AA26</f>
        <v>0</v>
      </c>
      <c r="L26" s="4">
        <v>17</v>
      </c>
      <c r="M26" s="4">
        <f>L26*AA26</f>
        <v>57.29</v>
      </c>
      <c r="O26" s="4">
        <f>N26*AA26</f>
        <v>0</v>
      </c>
      <c r="R26" s="4" t="s">
        <v>119</v>
      </c>
      <c r="Y26" s="4" t="s">
        <v>177</v>
      </c>
      <c r="Z26" s="4">
        <f>B26+D26+F26+H26+J26+L26+N26</f>
        <v>20.51</v>
      </c>
      <c r="AA26" s="4">
        <v>3.37</v>
      </c>
      <c r="AB26" s="24">
        <f>Z26*AA26</f>
        <v>69.1187</v>
      </c>
      <c r="AD26" s="4">
        <v>8</v>
      </c>
    </row>
    <row r="27" spans="1:30" ht="14.25">
      <c r="A27" s="27" t="e">
        <f>"#n"/"a"</f>
        <v>#NAME?</v>
      </c>
      <c r="C27" s="4">
        <f>B27*AA27</f>
        <v>0</v>
      </c>
      <c r="D27" s="4">
        <f>1+0.45+1.47+0.96+2.45</f>
        <v>6.33</v>
      </c>
      <c r="E27" s="4">
        <f>D27*AA27</f>
        <v>21.3321</v>
      </c>
      <c r="G27" s="4">
        <f>F27*AA27</f>
        <v>0</v>
      </c>
      <c r="I27" s="4">
        <f>H27*AA27</f>
        <v>0</v>
      </c>
      <c r="K27" s="4">
        <f>J27*AA27</f>
        <v>0</v>
      </c>
      <c r="L27" s="4">
        <v>17</v>
      </c>
      <c r="M27" s="4">
        <f>L27*AA27</f>
        <v>57.29</v>
      </c>
      <c r="N27" s="4">
        <f>11+7</f>
        <v>18</v>
      </c>
      <c r="O27" s="4">
        <f>N27*AA27</f>
        <v>60.660000000000004</v>
      </c>
      <c r="R27" s="4" t="s">
        <v>119</v>
      </c>
      <c r="Y27" s="4" t="s">
        <v>177</v>
      </c>
      <c r="Z27" s="4">
        <f>B27+D27+F27+H27+J27+L27+N27</f>
        <v>41.33</v>
      </c>
      <c r="AA27" s="4">
        <v>3.37</v>
      </c>
      <c r="AB27" s="24">
        <f>Z27*AA27</f>
        <v>139.28209999999999</v>
      </c>
      <c r="AD27" s="4">
        <v>8</v>
      </c>
    </row>
    <row r="28" spans="1:30" ht="14.25">
      <c r="A28" s="27">
        <v>42820</v>
      </c>
      <c r="B28" s="4">
        <v>1</v>
      </c>
      <c r="C28" s="4">
        <f>B28*AA28</f>
        <v>3.37</v>
      </c>
      <c r="D28" s="4">
        <f>3.36+4.35+0.6+1.2+1.5</f>
        <v>11.009999999999998</v>
      </c>
      <c r="E28" s="4">
        <f>D28*AA28</f>
        <v>37.103699999999996</v>
      </c>
      <c r="G28" s="4">
        <f>F28*AA28</f>
        <v>0</v>
      </c>
      <c r="I28" s="4">
        <f>H28*AA28</f>
        <v>0</v>
      </c>
      <c r="K28" s="4">
        <f>J28*AA28</f>
        <v>0</v>
      </c>
      <c r="L28" s="4">
        <v>17</v>
      </c>
      <c r="M28" s="4">
        <f>L28*AA28</f>
        <v>57.29</v>
      </c>
      <c r="N28" s="4">
        <v>12</v>
      </c>
      <c r="O28" s="4">
        <f>N28*AA28</f>
        <v>40.44</v>
      </c>
      <c r="R28" s="4" t="s">
        <v>119</v>
      </c>
      <c r="Y28" s="4" t="s">
        <v>177</v>
      </c>
      <c r="Z28" s="4">
        <f>B28+D28+F28+H28+J28+L28+N28</f>
        <v>41.01</v>
      </c>
      <c r="AA28" s="4">
        <v>3.37</v>
      </c>
      <c r="AB28" s="24">
        <f>Z28*AA28</f>
        <v>138.2037</v>
      </c>
      <c r="AD28" s="4">
        <v>8</v>
      </c>
    </row>
    <row r="29" spans="1:30" ht="12.75">
      <c r="A29" s="27">
        <v>42821</v>
      </c>
      <c r="B29" s="4">
        <f>1.3+(18.15*2)</f>
        <v>37.599999999999994</v>
      </c>
      <c r="C29" s="4">
        <f>B29*AA29</f>
        <v>126.71199999999999</v>
      </c>
      <c r="D29" s="4">
        <f>1.2+0.8+2.96+1</f>
        <v>5.96</v>
      </c>
      <c r="E29" s="4">
        <f>D29*AA29</f>
        <v>20.0852</v>
      </c>
      <c r="G29" s="4">
        <f>F29*AA29</f>
        <v>0</v>
      </c>
      <c r="I29" s="4">
        <f>H29*AA29</f>
        <v>0</v>
      </c>
      <c r="K29" s="4">
        <f>J29*AA29</f>
        <v>0</v>
      </c>
      <c r="M29" s="4">
        <f>L29*AA29</f>
        <v>0</v>
      </c>
      <c r="O29" s="4">
        <f>N29*AA29</f>
        <v>0</v>
      </c>
      <c r="W29" s="4" t="s">
        <v>119</v>
      </c>
      <c r="Y29" s="4" t="s">
        <v>178</v>
      </c>
      <c r="Z29" s="4">
        <f>B29+D29+F29+H29+J29+L29+N29</f>
        <v>43.559999999999995</v>
      </c>
      <c r="AA29" s="4">
        <v>3.37</v>
      </c>
      <c r="AB29" s="24">
        <f>Z29*AA29</f>
        <v>146.79719999999998</v>
      </c>
      <c r="AD29" s="4">
        <v>8</v>
      </c>
    </row>
    <row r="30" spans="1:30" ht="12.75">
      <c r="A30" s="27">
        <v>42822</v>
      </c>
      <c r="B30" s="4">
        <v>3.5</v>
      </c>
      <c r="C30" s="4">
        <f>B30*AA30</f>
        <v>11.795</v>
      </c>
      <c r="D30" s="4">
        <f>1.27+1.85+3.15</f>
        <v>6.27</v>
      </c>
      <c r="E30" s="4">
        <f>D30*AA30</f>
        <v>21.1299</v>
      </c>
      <c r="G30" s="4">
        <f>F30*AA30</f>
        <v>0</v>
      </c>
      <c r="I30" s="4">
        <f>H30*AA30</f>
        <v>0</v>
      </c>
      <c r="K30" s="4">
        <f>J30*AA30</f>
        <v>0</v>
      </c>
      <c r="L30" s="4">
        <v>25</v>
      </c>
      <c r="M30" s="4">
        <f>L30*AA30</f>
        <v>84.25</v>
      </c>
      <c r="O30" s="4">
        <f>N30*AA30</f>
        <v>0</v>
      </c>
      <c r="R30" s="4" t="s">
        <v>119</v>
      </c>
      <c r="Y30" s="4" t="s">
        <v>179</v>
      </c>
      <c r="Z30" s="4">
        <f>B30+D30+F30+H30+J30+L30+N30</f>
        <v>34.769999999999996</v>
      </c>
      <c r="AA30" s="4">
        <v>3.37</v>
      </c>
      <c r="AB30" s="24">
        <f>Z30*AA30</f>
        <v>117.1749</v>
      </c>
      <c r="AD30" s="4">
        <v>8</v>
      </c>
    </row>
    <row r="31" spans="1:30" ht="12.75">
      <c r="A31" s="27">
        <v>42823</v>
      </c>
      <c r="B31" s="4">
        <f>1.75*2+2.1*2</f>
        <v>7.7</v>
      </c>
      <c r="C31" s="4">
        <f>B31*AA31</f>
        <v>25.949</v>
      </c>
      <c r="E31" s="4">
        <f>D31*AA31</f>
        <v>0</v>
      </c>
      <c r="F31" s="4">
        <v>3</v>
      </c>
      <c r="G31" s="4">
        <f>F31*AA31</f>
        <v>10.11</v>
      </c>
      <c r="I31" s="4">
        <f>H31*AA31</f>
        <v>0</v>
      </c>
      <c r="K31" s="4">
        <f>J31*AA31</f>
        <v>0</v>
      </c>
      <c r="L31" s="4">
        <v>20</v>
      </c>
      <c r="M31" s="4">
        <f>L31*AA31</f>
        <v>67.4</v>
      </c>
      <c r="O31" s="4">
        <f>N31*AA31</f>
        <v>0</v>
      </c>
      <c r="R31" s="4" t="s">
        <v>119</v>
      </c>
      <c r="Y31" s="4" t="s">
        <v>180</v>
      </c>
      <c r="Z31" s="4">
        <f>B31+D31+F31+H31+J31+L31+N31</f>
        <v>30.7</v>
      </c>
      <c r="AA31" s="4">
        <v>3.37</v>
      </c>
      <c r="AB31" s="24">
        <f>Z31*AA31</f>
        <v>103.459</v>
      </c>
      <c r="AD31" s="4">
        <v>8</v>
      </c>
    </row>
    <row r="32" spans="1:30" ht="12.75">
      <c r="A32" s="27">
        <v>42824</v>
      </c>
      <c r="B32" s="4">
        <f>7445*2</f>
        <v>14890</v>
      </c>
      <c r="C32" s="4">
        <f>B32*AA32</f>
        <v>88.56242193540713</v>
      </c>
      <c r="D32" s="4">
        <f>3475+630+1000+500+300</f>
        <v>5905</v>
      </c>
      <c r="E32" s="4">
        <f>D32*AA32</f>
        <v>35.1216320704217</v>
      </c>
      <c r="G32" s="4">
        <f>F32*AA32</f>
        <v>0</v>
      </c>
      <c r="I32" s="4">
        <f>H32*AA32</f>
        <v>0</v>
      </c>
      <c r="K32" s="4">
        <f>J32*AA32</f>
        <v>0</v>
      </c>
      <c r="L32" s="4">
        <v>10780</v>
      </c>
      <c r="M32" s="4">
        <f>L32*AA32</f>
        <v>64.11705228097306</v>
      </c>
      <c r="O32" s="4">
        <f>N32*AA32</f>
        <v>0</v>
      </c>
      <c r="R32" s="4" t="s">
        <v>119</v>
      </c>
      <c r="Y32" s="4" t="s">
        <v>181</v>
      </c>
      <c r="Z32" s="4">
        <f>B32+D32+F32+H32+J32+L32+N32</f>
        <v>31575</v>
      </c>
      <c r="AA32" s="4">
        <f>1/168.13</f>
        <v>0.005947778504728484</v>
      </c>
      <c r="AB32" s="24">
        <f>Z32*AA32</f>
        <v>187.80110628680188</v>
      </c>
      <c r="AD32" s="4">
        <v>9</v>
      </c>
    </row>
    <row r="33" spans="1:30" ht="12.75">
      <c r="A33" s="25">
        <v>42825</v>
      </c>
      <c r="C33" s="4">
        <f>B33*AA33</f>
        <v>0</v>
      </c>
      <c r="D33" s="4">
        <f>200+200+750</f>
        <v>1150</v>
      </c>
      <c r="E33" s="4">
        <f>D33*AA33</f>
        <v>6.839945280437757</v>
      </c>
      <c r="G33" s="4">
        <f>F33*AA33</f>
        <v>0</v>
      </c>
      <c r="I33" s="4">
        <f>H33*AA33</f>
        <v>0</v>
      </c>
      <c r="K33" s="4">
        <f>J33*AA33</f>
        <v>0</v>
      </c>
      <c r="L33" s="4">
        <v>10780</v>
      </c>
      <c r="M33" s="4">
        <f>L33*AA33</f>
        <v>64.11705228097306</v>
      </c>
      <c r="O33" s="4">
        <f>N33*AA33</f>
        <v>0</v>
      </c>
      <c r="R33" s="4" t="s">
        <v>119</v>
      </c>
      <c r="Y33" s="4" t="s">
        <v>182</v>
      </c>
      <c r="Z33" s="4">
        <f>B33+D33+F33+H33+J33+L33+N33</f>
        <v>11930</v>
      </c>
      <c r="AA33" s="4">
        <f>1/168.13</f>
        <v>0.005947778504728484</v>
      </c>
      <c r="AB33" s="24">
        <f>Z33*AA33</f>
        <v>70.95699756141082</v>
      </c>
      <c r="AD33" s="4">
        <v>9</v>
      </c>
    </row>
    <row r="34" spans="3:28" ht="12.75">
      <c r="C34" s="4">
        <f>B34*AA34</f>
        <v>0</v>
      </c>
      <c r="E34" s="4">
        <f>D34*AA34</f>
        <v>0</v>
      </c>
      <c r="G34" s="4">
        <f>F34*AA34</f>
        <v>0</v>
      </c>
      <c r="I34" s="4">
        <f>H34*AA34</f>
        <v>0</v>
      </c>
      <c r="K34" s="4">
        <f>J34*AA34</f>
        <v>0</v>
      </c>
      <c r="M34" s="4">
        <f>L34*AA34</f>
        <v>0</v>
      </c>
      <c r="O34" s="4">
        <f>N34*AA34</f>
        <v>0</v>
      </c>
      <c r="Z34" s="4">
        <f>B34+D34+F34+H34+J34+L34+N34</f>
        <v>0</v>
      </c>
      <c r="AA34" s="4">
        <f>(693.63/600000)</f>
        <v>0.00115605</v>
      </c>
      <c r="AB34" s="24">
        <f>Z34*AA34</f>
        <v>0</v>
      </c>
    </row>
    <row r="35" spans="3:28" ht="12.75">
      <c r="C35" s="4">
        <f>B35*AA35</f>
        <v>0</v>
      </c>
      <c r="E35" s="4">
        <f>D35*AA35</f>
        <v>0</v>
      </c>
      <c r="G35" s="4">
        <f>F35*AA35</f>
        <v>0</v>
      </c>
      <c r="I35" s="4">
        <f>H35*AA35</f>
        <v>0</v>
      </c>
      <c r="K35" s="4">
        <f>J35*AA35</f>
        <v>0</v>
      </c>
      <c r="M35" s="4">
        <f>L35*AA35</f>
        <v>0</v>
      </c>
      <c r="O35" s="4">
        <f>N35*AA35</f>
        <v>0</v>
      </c>
      <c r="Z35" s="4">
        <f>B35+D35+F35+H35+J35+L35+N35</f>
        <v>0</v>
      </c>
      <c r="AA35" s="4">
        <f>(693.63/600000)</f>
        <v>0.00115605</v>
      </c>
      <c r="AB35" s="24">
        <f>Z35*AA35</f>
        <v>0</v>
      </c>
    </row>
    <row r="36" spans="3:28" ht="12.75">
      <c r="C36" s="4">
        <f>B36*AA36</f>
        <v>0</v>
      </c>
      <c r="E36" s="4">
        <f>D36*AA36</f>
        <v>0</v>
      </c>
      <c r="G36" s="4">
        <f>F36*AA36</f>
        <v>0</v>
      </c>
      <c r="I36" s="4">
        <f>H36*AA36</f>
        <v>0</v>
      </c>
      <c r="K36" s="4">
        <f>J36*AA36</f>
        <v>0</v>
      </c>
      <c r="M36" s="4">
        <f>L36*AA36</f>
        <v>0</v>
      </c>
      <c r="O36" s="4">
        <f>N36*AA36</f>
        <v>0</v>
      </c>
      <c r="Z36" s="4">
        <f>B36+D36+F36+H36+J36+L36+N36</f>
        <v>0</v>
      </c>
      <c r="AA36" s="4">
        <f>(693.63/600000)</f>
        <v>0.00115605</v>
      </c>
      <c r="AB36" s="24">
        <f>Z36*AA36</f>
        <v>0</v>
      </c>
    </row>
    <row r="37" spans="3:28" ht="12.75">
      <c r="C37" s="4">
        <f>B37*AA37</f>
        <v>0</v>
      </c>
      <c r="E37" s="4">
        <f>D37*AA37</f>
        <v>0</v>
      </c>
      <c r="G37" s="4">
        <f>F37*AA37</f>
        <v>0</v>
      </c>
      <c r="I37" s="4">
        <f>H37*AA37</f>
        <v>0</v>
      </c>
      <c r="K37" s="4">
        <f>J37*AA37</f>
        <v>0</v>
      </c>
      <c r="M37" s="4">
        <f>L37*AA37</f>
        <v>0</v>
      </c>
      <c r="O37" s="4">
        <f>N37*AA37</f>
        <v>0</v>
      </c>
      <c r="Z37" s="4">
        <f>B37+D37+F37+H37+J37+L37+N37</f>
        <v>0</v>
      </c>
      <c r="AA37" s="4">
        <f>(693.63/600000)</f>
        <v>0.00115605</v>
      </c>
      <c r="AB37" s="24">
        <f>Z37*AA37</f>
        <v>0</v>
      </c>
    </row>
    <row r="38" spans="3:28" ht="12.75">
      <c r="C38" s="4">
        <f>B38*AA38</f>
        <v>0</v>
      </c>
      <c r="E38" s="4">
        <f>D38*AA38</f>
        <v>0</v>
      </c>
      <c r="G38" s="4">
        <f>F38*AA38</f>
        <v>0</v>
      </c>
      <c r="I38" s="4">
        <f>H38*AA38</f>
        <v>0</v>
      </c>
      <c r="K38" s="4">
        <f>J38*AA38</f>
        <v>0</v>
      </c>
      <c r="M38" s="4">
        <f>L38*AA38</f>
        <v>0</v>
      </c>
      <c r="O38" s="4">
        <f>N38*AA38</f>
        <v>0</v>
      </c>
      <c r="Z38" s="4">
        <f>B38+D38+F38+H38+J38+L38+N38</f>
        <v>0</v>
      </c>
      <c r="AA38" s="4">
        <f>(693.63/600000)</f>
        <v>0.00115605</v>
      </c>
      <c r="AB38" s="24">
        <f>Z38*AA38</f>
        <v>0</v>
      </c>
    </row>
    <row r="39" spans="3:28" ht="12.75">
      <c r="C39" s="4">
        <f>B39*AA39</f>
        <v>0</v>
      </c>
      <c r="E39" s="4">
        <f>D39*AA39</f>
        <v>0</v>
      </c>
      <c r="G39" s="4">
        <f>F39*AA39</f>
        <v>0</v>
      </c>
      <c r="I39" s="4">
        <f>H39*AA39</f>
        <v>0</v>
      </c>
      <c r="K39" s="4">
        <f>J39*AA39</f>
        <v>0</v>
      </c>
      <c r="M39" s="4">
        <f>L39*AA39</f>
        <v>0</v>
      </c>
      <c r="O39" s="4">
        <f>N39*AA39</f>
        <v>0</v>
      </c>
      <c r="Z39" s="4">
        <f>B39+D39+F39+H39+J39+L39+N39</f>
        <v>0</v>
      </c>
      <c r="AA39" s="4">
        <f>(693.63/600000)</f>
        <v>0.00115605</v>
      </c>
      <c r="AB39" s="24">
        <f>Z39*AA39</f>
        <v>0</v>
      </c>
    </row>
    <row r="40" spans="3:28" ht="12.75">
      <c r="C40" s="4">
        <f>B40*AA40</f>
        <v>0</v>
      </c>
      <c r="E40" s="4">
        <f>D40*AA40</f>
        <v>0</v>
      </c>
      <c r="G40" s="4">
        <f>F40*AA40</f>
        <v>0</v>
      </c>
      <c r="I40" s="4">
        <f>H40*AA40</f>
        <v>0</v>
      </c>
      <c r="K40" s="4">
        <f>J40*AA40</f>
        <v>0</v>
      </c>
      <c r="M40" s="4">
        <f>L40*AA40</f>
        <v>0</v>
      </c>
      <c r="O40" s="4">
        <f>N40*AA40</f>
        <v>0</v>
      </c>
      <c r="Z40" s="4">
        <f>B40+D40+F40+H40+J40+L40+N40</f>
        <v>0</v>
      </c>
      <c r="AA40" s="4">
        <f>(693.63/600000)</f>
        <v>0.00115605</v>
      </c>
      <c r="AB40" s="24">
        <f>Z40*AA40</f>
        <v>0</v>
      </c>
    </row>
    <row r="41" spans="3:28" ht="12.75">
      <c r="C41" s="4">
        <f>B41*AA41</f>
        <v>0</v>
      </c>
      <c r="E41" s="4">
        <f>D41*AA41</f>
        <v>0</v>
      </c>
      <c r="G41" s="4">
        <f>F41*AA41</f>
        <v>0</v>
      </c>
      <c r="I41" s="4">
        <f>H41*AA41</f>
        <v>0</v>
      </c>
      <c r="K41" s="4">
        <f>J41*AA41</f>
        <v>0</v>
      </c>
      <c r="M41" s="4">
        <f>L41*AA41</f>
        <v>0</v>
      </c>
      <c r="O41" s="4">
        <f>N41*AA41</f>
        <v>0</v>
      </c>
      <c r="Z41" s="4">
        <f>B41+D41+F41+H41+J41+L41+N41</f>
        <v>0</v>
      </c>
      <c r="AA41" s="4">
        <f>(693.63/600000)</f>
        <v>0.00115605</v>
      </c>
      <c r="AB41" s="24">
        <f>Z41*AA41</f>
        <v>0</v>
      </c>
    </row>
    <row r="42" spans="3:28" ht="12.75">
      <c r="C42" s="4">
        <f>B42*AA42</f>
        <v>0</v>
      </c>
      <c r="E42" s="4">
        <f>D42*AA42</f>
        <v>0</v>
      </c>
      <c r="G42" s="4">
        <f>F42*AA42</f>
        <v>0</v>
      </c>
      <c r="I42" s="4">
        <f>H42*AA42</f>
        <v>0</v>
      </c>
      <c r="K42" s="4">
        <f>J42*AA42</f>
        <v>0</v>
      </c>
      <c r="M42" s="4">
        <f>L42*AA42</f>
        <v>0</v>
      </c>
      <c r="O42" s="4">
        <f>N42*AA42</f>
        <v>0</v>
      </c>
      <c r="Z42" s="4">
        <f>B42+D42+F42+H42+J42+L42+N42</f>
        <v>0</v>
      </c>
      <c r="AA42" s="4">
        <f>(693.63/600000)</f>
        <v>0.00115605</v>
      </c>
      <c r="AB42" s="24">
        <f>Z42*AA42</f>
        <v>0</v>
      </c>
    </row>
    <row r="43" spans="3:28" ht="12.75">
      <c r="C43" s="4">
        <f>B43*AA43</f>
        <v>0</v>
      </c>
      <c r="E43" s="4">
        <f>D43*AA43</f>
        <v>0</v>
      </c>
      <c r="G43" s="4">
        <f>F43*AA43</f>
        <v>0</v>
      </c>
      <c r="I43" s="4">
        <f>H43*AA43</f>
        <v>0</v>
      </c>
      <c r="K43" s="4">
        <f>J43*AA43</f>
        <v>0</v>
      </c>
      <c r="M43" s="4">
        <f>L43*AA43</f>
        <v>0</v>
      </c>
      <c r="O43" s="4">
        <f>N43*AA43</f>
        <v>0</v>
      </c>
      <c r="Z43" s="4">
        <f>B43+D43+F43+H43+J43+L43+N43</f>
        <v>0</v>
      </c>
      <c r="AA43" s="4">
        <f>(693.63/600000)</f>
        <v>0.00115605</v>
      </c>
      <c r="AB43" s="24">
        <f>Z43*AA43</f>
        <v>0</v>
      </c>
    </row>
    <row r="44" spans="3:28" ht="12.75">
      <c r="C44" s="4">
        <f>B44*AA44</f>
        <v>0</v>
      </c>
      <c r="E44" s="4">
        <f>D44*AA44</f>
        <v>0</v>
      </c>
      <c r="G44" s="4">
        <f>F44*AA44</f>
        <v>0</v>
      </c>
      <c r="I44" s="4">
        <f>H44*AA44</f>
        <v>0</v>
      </c>
      <c r="K44" s="4">
        <f>J44*AA44</f>
        <v>0</v>
      </c>
      <c r="M44" s="4">
        <f>L44*AA44</f>
        <v>0</v>
      </c>
      <c r="O44" s="4">
        <f>N44*AA44</f>
        <v>0</v>
      </c>
      <c r="Z44" s="4">
        <f>B44+D44+F44+H44+J44+L44+N44</f>
        <v>0</v>
      </c>
      <c r="AA44" s="4">
        <f>(693.63/600000)</f>
        <v>0.00115605</v>
      </c>
      <c r="AB44" s="24">
        <f>Z44*AA44</f>
        <v>0</v>
      </c>
    </row>
    <row r="45" spans="3:28" ht="12.75">
      <c r="C45" s="4">
        <f>B45*AA45</f>
        <v>0</v>
      </c>
      <c r="E45" s="4">
        <f>D45*AA45</f>
        <v>0</v>
      </c>
      <c r="G45" s="4">
        <f>F45*AA45</f>
        <v>0</v>
      </c>
      <c r="I45" s="4">
        <f>H45*AA45</f>
        <v>0</v>
      </c>
      <c r="K45" s="4">
        <f>J45*AA45</f>
        <v>0</v>
      </c>
      <c r="M45" s="4">
        <f>L45*AA45</f>
        <v>0</v>
      </c>
      <c r="O45" s="4">
        <f>N45*AA45</f>
        <v>0</v>
      </c>
      <c r="Z45" s="4">
        <f>B45+D45+F45+H45+J45+L45+N45</f>
        <v>0</v>
      </c>
      <c r="AA45" s="4">
        <f>(693.63/600000)</f>
        <v>0.00115605</v>
      </c>
      <c r="AB45" s="24">
        <f>Z45*AA45</f>
        <v>0</v>
      </c>
    </row>
    <row r="46" spans="3:28" ht="12.75">
      <c r="C46" s="4">
        <f>B46*AA46</f>
        <v>0</v>
      </c>
      <c r="E46" s="4">
        <f>D46*AA46</f>
        <v>0</v>
      </c>
      <c r="G46" s="4">
        <f>F46*AA46</f>
        <v>0</v>
      </c>
      <c r="I46" s="4">
        <f>H46*AA46</f>
        <v>0</v>
      </c>
      <c r="K46" s="4">
        <f>J46*AA46</f>
        <v>0</v>
      </c>
      <c r="M46" s="4">
        <f>L46*AA46</f>
        <v>0</v>
      </c>
      <c r="O46" s="4">
        <f>N46*AA46</f>
        <v>0</v>
      </c>
      <c r="Z46" s="4">
        <f>B46+D46+F46+H46+J46+L46+N46</f>
        <v>0</v>
      </c>
      <c r="AA46" s="4">
        <f>(693.63/600000)</f>
        <v>0.00115605</v>
      </c>
      <c r="AB46" s="24">
        <f>Z46*AA46</f>
        <v>0</v>
      </c>
    </row>
    <row r="47" spans="3:28" ht="12.75">
      <c r="C47" s="4">
        <f>B47*AA47</f>
        <v>0</v>
      </c>
      <c r="E47" s="4">
        <f>D47*AA47</f>
        <v>0</v>
      </c>
      <c r="G47" s="4">
        <f>F47*AA47</f>
        <v>0</v>
      </c>
      <c r="I47" s="4">
        <f>H47*AA47</f>
        <v>0</v>
      </c>
      <c r="K47" s="4">
        <f>J47*AA47</f>
        <v>0</v>
      </c>
      <c r="M47" s="4">
        <f>L47*AA47</f>
        <v>0</v>
      </c>
      <c r="O47" s="4">
        <f>N47*AA47</f>
        <v>0</v>
      </c>
      <c r="Z47" s="4">
        <f>B47+D47+F47+H47+J47+L47+N47</f>
        <v>0</v>
      </c>
      <c r="AA47" s="4">
        <f>(693.63/600000)</f>
        <v>0.00115605</v>
      </c>
      <c r="AB47" s="24">
        <f>Z47*AA47</f>
        <v>0</v>
      </c>
    </row>
    <row r="48" spans="3:28" ht="12.75">
      <c r="C48" s="4">
        <f>B48*AA48</f>
        <v>0</v>
      </c>
      <c r="E48" s="4">
        <f>D48*AA48</f>
        <v>0</v>
      </c>
      <c r="G48" s="4">
        <f>F48*AA48</f>
        <v>0</v>
      </c>
      <c r="I48" s="4">
        <f>H48*AA48</f>
        <v>0</v>
      </c>
      <c r="K48" s="4">
        <f>J48*AA48</f>
        <v>0</v>
      </c>
      <c r="M48" s="4">
        <f>L48*AA48</f>
        <v>0</v>
      </c>
      <c r="O48" s="4">
        <f>N48*AA48</f>
        <v>0</v>
      </c>
      <c r="Z48" s="4">
        <f>B48+D48+F48+H48+J48+L48+N48</f>
        <v>0</v>
      </c>
      <c r="AA48" s="4">
        <f>(693.63/600000)</f>
        <v>0.00115605</v>
      </c>
      <c r="AB48" s="24">
        <f>Z48*AA48</f>
        <v>0</v>
      </c>
    </row>
    <row r="49" spans="3:28" ht="12.75">
      <c r="C49" s="4">
        <f>B49*AA49</f>
        <v>0</v>
      </c>
      <c r="E49" s="4">
        <f>D49*AA49</f>
        <v>0</v>
      </c>
      <c r="G49" s="4">
        <f>F49*AA49</f>
        <v>0</v>
      </c>
      <c r="I49" s="4">
        <f>H49*AA49</f>
        <v>0</v>
      </c>
      <c r="K49" s="4">
        <f>J49*AA49</f>
        <v>0</v>
      </c>
      <c r="M49" s="4">
        <f>L49*AA49</f>
        <v>0</v>
      </c>
      <c r="O49" s="4">
        <f>N49*AA49</f>
        <v>0</v>
      </c>
      <c r="Z49" s="4">
        <f>B49+D49+F49+H49+J49+L49+N49</f>
        <v>0</v>
      </c>
      <c r="AA49" s="4">
        <v>0.0061</v>
      </c>
      <c r="AB49" s="24">
        <f>Z49*AA49</f>
        <v>0</v>
      </c>
    </row>
    <row r="50" spans="3:28" ht="12.75">
      <c r="C50" s="4">
        <f>B50*AA50</f>
        <v>0</v>
      </c>
      <c r="E50" s="4">
        <f>D50*AA50</f>
        <v>0</v>
      </c>
      <c r="G50" s="4">
        <f>F50*AA50</f>
        <v>0</v>
      </c>
      <c r="I50" s="4">
        <f>H50*AA50</f>
        <v>0</v>
      </c>
      <c r="K50" s="4">
        <f>J50*AA50</f>
        <v>0</v>
      </c>
      <c r="M50" s="4">
        <f>L50*AA50</f>
        <v>0</v>
      </c>
      <c r="O50" s="4">
        <f>N50*AA50</f>
        <v>0</v>
      </c>
      <c r="Z50" s="4">
        <f>B50+D50+F50+H50+J50+L50+N50</f>
        <v>0</v>
      </c>
      <c r="AA50" s="4">
        <v>0.005925</v>
      </c>
      <c r="AB50" s="24">
        <f>Z50*AA50</f>
        <v>0</v>
      </c>
    </row>
    <row r="51" spans="3:28" ht="12.75">
      <c r="C51" s="4">
        <f>B51*AA51</f>
        <v>0</v>
      </c>
      <c r="E51" s="4">
        <f>D51*AA51</f>
        <v>0</v>
      </c>
      <c r="G51" s="4">
        <f>F51*AA51</f>
        <v>0</v>
      </c>
      <c r="I51" s="4">
        <f>H51*AA51</f>
        <v>0</v>
      </c>
      <c r="K51" s="4">
        <f>J51*AA51</f>
        <v>0</v>
      </c>
      <c r="M51" s="4">
        <f>L51*AA51</f>
        <v>0</v>
      </c>
      <c r="O51" s="4">
        <f>N51*AA51</f>
        <v>0</v>
      </c>
      <c r="Z51" s="4">
        <f>B51+D51+F51+H51+J51+L51+N51</f>
        <v>0</v>
      </c>
      <c r="AB51" s="24">
        <f>Z51*AA51</f>
        <v>0</v>
      </c>
    </row>
    <row r="52" spans="3:28" ht="12.75">
      <c r="C52" s="4">
        <f>B52*AA52</f>
        <v>0</v>
      </c>
      <c r="E52" s="4">
        <f>D52*AA52</f>
        <v>0</v>
      </c>
      <c r="G52" s="4">
        <f>F52*AA52</f>
        <v>0</v>
      </c>
      <c r="I52" s="4">
        <f>H52*AA52</f>
        <v>0</v>
      </c>
      <c r="K52" s="4">
        <f>J52*AA52</f>
        <v>0</v>
      </c>
      <c r="M52" s="4">
        <f>L52*AA52</f>
        <v>0</v>
      </c>
      <c r="O52" s="4">
        <f>N52*AA52</f>
        <v>0</v>
      </c>
      <c r="Z52" s="4">
        <f>B52+D52+F52+H52+J52+L52+N52</f>
        <v>0</v>
      </c>
      <c r="AB52" s="24">
        <f>Z52*AA52</f>
        <v>0</v>
      </c>
    </row>
    <row r="53" spans="3:28" ht="12.75">
      <c r="C53" s="4">
        <f>B53*AA53</f>
        <v>0</v>
      </c>
      <c r="E53" s="4">
        <f>D53*AA53</f>
        <v>0</v>
      </c>
      <c r="G53" s="4">
        <f>F53*AA53</f>
        <v>0</v>
      </c>
      <c r="I53" s="4">
        <f>H53*AA53</f>
        <v>0</v>
      </c>
      <c r="K53" s="4">
        <f>J53*AA53</f>
        <v>0</v>
      </c>
      <c r="M53" s="4">
        <f>L53*AA53</f>
        <v>0</v>
      </c>
      <c r="O53" s="4">
        <f>N53*AA53</f>
        <v>0</v>
      </c>
      <c r="Z53" s="4">
        <f>B53+D53+F53+H53+J53+L53+N53</f>
        <v>0</v>
      </c>
      <c r="AB53" s="24">
        <f>Z53*AA53</f>
        <v>0</v>
      </c>
    </row>
    <row r="54" spans="3:28" ht="12.75">
      <c r="C54" s="4">
        <f>B54*AA54</f>
        <v>0</v>
      </c>
      <c r="E54" s="4">
        <f>D54*AA54</f>
        <v>0</v>
      </c>
      <c r="G54" s="4">
        <f>F54*AA54</f>
        <v>0</v>
      </c>
      <c r="I54" s="4">
        <f>H54*AA54</f>
        <v>0</v>
      </c>
      <c r="K54" s="4">
        <f>J54*AA54</f>
        <v>0</v>
      </c>
      <c r="M54" s="4">
        <f>L54*AA54</f>
        <v>0</v>
      </c>
      <c r="O54" s="4">
        <f>N54*AA54</f>
        <v>0</v>
      </c>
      <c r="Z54" s="4">
        <f>B54+D54+F54+H54+J54+L54+N54</f>
        <v>0</v>
      </c>
      <c r="AA54" s="4">
        <v>0.005925</v>
      </c>
      <c r="AB54" s="24">
        <f>Z54*AA54</f>
        <v>0</v>
      </c>
    </row>
    <row r="55" spans="3:28" ht="12.75">
      <c r="C55" s="4">
        <f>B55*AA55</f>
        <v>0</v>
      </c>
      <c r="E55" s="4">
        <f>D55*AA55</f>
        <v>0</v>
      </c>
      <c r="G55" s="4">
        <f>F55*AA55</f>
        <v>0</v>
      </c>
      <c r="I55" s="4">
        <f>H55*AA55</f>
        <v>0</v>
      </c>
      <c r="K55" s="4">
        <f>J55*AA55</f>
        <v>0</v>
      </c>
      <c r="M55" s="4">
        <f>L55*AA55</f>
        <v>0</v>
      </c>
      <c r="O55" s="4">
        <f>N55*AA55</f>
        <v>0</v>
      </c>
      <c r="Z55" s="4">
        <f>B55+D55+F55+H55+J55+L55+N55</f>
        <v>0</v>
      </c>
      <c r="AB55" s="24">
        <f>Z55*AA55</f>
        <v>0</v>
      </c>
    </row>
    <row r="56" spans="3:28" ht="12.75">
      <c r="C56" s="4">
        <f>B56*AA56</f>
        <v>0</v>
      </c>
      <c r="E56" s="4">
        <f>D56*AA56</f>
        <v>0</v>
      </c>
      <c r="G56" s="4">
        <f>F56*AA56</f>
        <v>0</v>
      </c>
      <c r="I56" s="4">
        <f>H56*AA56</f>
        <v>0</v>
      </c>
      <c r="K56" s="4">
        <f>J56*AA56</f>
        <v>0</v>
      </c>
      <c r="M56" s="4">
        <f>L56*AA56</f>
        <v>0</v>
      </c>
      <c r="O56" s="4">
        <f>N56*AA56</f>
        <v>0</v>
      </c>
      <c r="Z56" s="4">
        <f>B56+D56+F56+H56+J56+L56+N56</f>
        <v>0</v>
      </c>
      <c r="AB56" s="24">
        <f>Z56*AA56</f>
        <v>0</v>
      </c>
    </row>
    <row r="57" spans="3:28" ht="12.75">
      <c r="C57" s="4">
        <f>B57*AA57</f>
        <v>0</v>
      </c>
      <c r="E57" s="4">
        <f>D57*AA57</f>
        <v>0</v>
      </c>
      <c r="G57" s="4">
        <f>F57*AA57</f>
        <v>0</v>
      </c>
      <c r="I57" s="4">
        <f>H57*AA57</f>
        <v>0</v>
      </c>
      <c r="K57" s="4">
        <f>J57*AA57</f>
        <v>0</v>
      </c>
      <c r="M57" s="4">
        <f>L57*AA57</f>
        <v>0</v>
      </c>
      <c r="O57" s="4">
        <f>N57*AA57</f>
        <v>0</v>
      </c>
      <c r="Z57" s="4">
        <f>B57+D57+F57+H57+J57+L57+N57</f>
        <v>0</v>
      </c>
      <c r="AB57" s="24">
        <f>Z57*AA57</f>
        <v>0</v>
      </c>
    </row>
    <row r="58" spans="3:26" ht="12.75">
      <c r="C58" s="4">
        <f>B58*AA58</f>
        <v>0</v>
      </c>
      <c r="E58" s="4">
        <f>D58*AA58</f>
        <v>0</v>
      </c>
      <c r="G58" s="4">
        <f>F58*AA58</f>
        <v>0</v>
      </c>
      <c r="I58" s="4">
        <f>H58*AA58</f>
        <v>0</v>
      </c>
      <c r="K58" s="4">
        <f>J58*AA58</f>
        <v>0</v>
      </c>
      <c r="M58" s="4">
        <f>L58*AA58</f>
        <v>0</v>
      </c>
      <c r="O58" s="4">
        <f>N58*AA58</f>
        <v>0</v>
      </c>
      <c r="Z58" s="4">
        <f>B58+D58+F58+H58+J58+L58+N58</f>
        <v>0</v>
      </c>
    </row>
    <row r="59" spans="3:26" ht="12.75">
      <c r="C59" s="4">
        <f>B59*AA59</f>
        <v>0</v>
      </c>
      <c r="E59" s="4">
        <f>D59*AA59</f>
        <v>0</v>
      </c>
      <c r="G59" s="4">
        <f>F59*AA59</f>
        <v>0</v>
      </c>
      <c r="I59" s="4">
        <f>H59*AA59</f>
        <v>0</v>
      </c>
      <c r="K59" s="4">
        <f>J59*AA59</f>
        <v>0</v>
      </c>
      <c r="M59" s="4">
        <f>L59*AA59</f>
        <v>0</v>
      </c>
      <c r="O59" s="4">
        <f>N59*AA59</f>
        <v>0</v>
      </c>
      <c r="Z59" s="4">
        <f>B59+D59+F59+H59+J59+L59+N59</f>
        <v>0</v>
      </c>
    </row>
    <row r="60" spans="3:26" ht="12.75">
      <c r="C60" s="4">
        <f>B60*AA60</f>
        <v>0</v>
      </c>
      <c r="E60" s="4">
        <f>D60*AA60</f>
        <v>0</v>
      </c>
      <c r="G60" s="4">
        <f>F60*AA60</f>
        <v>0</v>
      </c>
      <c r="I60" s="4">
        <f>H60*AA60</f>
        <v>0</v>
      </c>
      <c r="K60" s="4">
        <f>J60*AA60</f>
        <v>0</v>
      </c>
      <c r="M60" s="4">
        <f>L60*AA60</f>
        <v>0</v>
      </c>
      <c r="O60" s="4">
        <f>N60*AA60</f>
        <v>0</v>
      </c>
      <c r="Z60" s="4">
        <f>B60+D60+F60+H60+J60+L60+N60</f>
        <v>0</v>
      </c>
    </row>
    <row r="61" spans="3:26" ht="12.75">
      <c r="C61" s="4">
        <f>B61*AA61</f>
        <v>0</v>
      </c>
      <c r="E61" s="4">
        <f>D61*AA61</f>
        <v>0</v>
      </c>
      <c r="G61" s="4">
        <f>F61*AA61</f>
        <v>0</v>
      </c>
      <c r="I61" s="4">
        <f>H61*AA61</f>
        <v>0</v>
      </c>
      <c r="K61" s="4">
        <f>J61*AA61</f>
        <v>0</v>
      </c>
      <c r="M61" s="4">
        <f>L61*AA61</f>
        <v>0</v>
      </c>
      <c r="O61" s="4">
        <f>N61*AA61</f>
        <v>0</v>
      </c>
      <c r="Z61" s="4">
        <f>B61+D61+F61+H61+J61+L61+N61</f>
        <v>0</v>
      </c>
    </row>
    <row r="62" spans="3:26" ht="12.75">
      <c r="C62" s="4">
        <f>B62*AA62</f>
        <v>0</v>
      </c>
      <c r="E62" s="4">
        <f>D62*AA62</f>
        <v>0</v>
      </c>
      <c r="G62" s="4">
        <f>F62*AA62</f>
        <v>0</v>
      </c>
      <c r="I62" s="4">
        <f>H62*AA62</f>
        <v>0</v>
      </c>
      <c r="K62" s="4">
        <f>J62*AA62</f>
        <v>0</v>
      </c>
      <c r="M62" s="4">
        <f>L62*AA62</f>
        <v>0</v>
      </c>
      <c r="Z62" s="4">
        <f>B62+D62+F62+H62+J62+L62+N62</f>
        <v>0</v>
      </c>
    </row>
    <row r="63" spans="3:26" ht="12.75">
      <c r="C63" s="4">
        <f>B63*AA63</f>
        <v>0</v>
      </c>
      <c r="E63" s="4">
        <f>D63*AA63</f>
        <v>0</v>
      </c>
      <c r="G63" s="4">
        <f>F63*AA63</f>
        <v>0</v>
      </c>
      <c r="I63" s="4">
        <f>H63*AA63</f>
        <v>0</v>
      </c>
      <c r="K63" s="4">
        <f>J63*AA63</f>
        <v>0</v>
      </c>
      <c r="M63" s="4">
        <f>L63*AA63</f>
        <v>0</v>
      </c>
      <c r="Z63" s="4">
        <f>B63+D63+F63+H63+J63+L63+N63</f>
        <v>0</v>
      </c>
    </row>
    <row r="64" spans="3:26" ht="12.75">
      <c r="C64" s="4">
        <f>B64*AA64</f>
        <v>0</v>
      </c>
      <c r="E64" s="4">
        <f>D64*AA64</f>
        <v>0</v>
      </c>
      <c r="G64" s="4">
        <f>F64*AA64</f>
        <v>0</v>
      </c>
      <c r="I64" s="4">
        <f>H64*AA64</f>
        <v>0</v>
      </c>
      <c r="K64" s="4">
        <f>J64*AA64</f>
        <v>0</v>
      </c>
      <c r="M64" s="4">
        <f>L64*AA64</f>
        <v>0</v>
      </c>
      <c r="Z64" s="4">
        <f>B64+D64+F64+H64+J64+L64+N64</f>
        <v>0</v>
      </c>
    </row>
    <row r="65" spans="3:26" ht="12.75">
      <c r="C65" s="4">
        <f>B65*AA65</f>
        <v>0</v>
      </c>
      <c r="E65" s="4">
        <f>D65*AA65</f>
        <v>0</v>
      </c>
      <c r="G65" s="4">
        <f>F65*AA65</f>
        <v>0</v>
      </c>
      <c r="I65" s="4">
        <f>H65*AA65</f>
        <v>0</v>
      </c>
      <c r="K65" s="4">
        <f>J65*AA65</f>
        <v>0</v>
      </c>
      <c r="M65" s="4">
        <f>L65*AA65</f>
        <v>0</v>
      </c>
      <c r="Z65" s="4">
        <f>B65+D65+F65+H65+J65+L65+N65</f>
        <v>0</v>
      </c>
    </row>
    <row r="66" spans="3:26" ht="12.75">
      <c r="C66" s="4">
        <f>B66*AA66</f>
        <v>0</v>
      </c>
      <c r="E66" s="4">
        <f>D66*AA66</f>
        <v>0</v>
      </c>
      <c r="G66" s="4">
        <f>F66*AA66</f>
        <v>0</v>
      </c>
      <c r="I66" s="4">
        <f>H66*AA66</f>
        <v>0</v>
      </c>
      <c r="K66" s="4">
        <f>J66*AA66</f>
        <v>0</v>
      </c>
      <c r="M66" s="4">
        <f>L66*AA66</f>
        <v>0</v>
      </c>
      <c r="Z66" s="4">
        <f>B66+D66+F66+H66+J66+L66+N66</f>
        <v>0</v>
      </c>
    </row>
    <row r="67" spans="3:26" ht="12.75">
      <c r="C67" s="4">
        <f>B67*AA67</f>
        <v>0</v>
      </c>
      <c r="E67" s="4">
        <f>D67*AA67</f>
        <v>0</v>
      </c>
      <c r="G67" s="4">
        <f>F67*AA67</f>
        <v>0</v>
      </c>
      <c r="I67" s="4">
        <f>H67*AA67</f>
        <v>0</v>
      </c>
      <c r="K67" s="4">
        <f>J67*AA67</f>
        <v>0</v>
      </c>
      <c r="M67" s="4">
        <f>L67*AA67</f>
        <v>0</v>
      </c>
      <c r="Z67" s="4">
        <f>B67+D67+F67+H67+J67+L67+N67</f>
        <v>0</v>
      </c>
    </row>
    <row r="68" spans="3:26" ht="12.75">
      <c r="C68" s="4">
        <f>B68*AA68</f>
        <v>0</v>
      </c>
      <c r="E68" s="4">
        <f>D68*AA68</f>
        <v>0</v>
      </c>
      <c r="G68" s="4">
        <f>F68*AA68</f>
        <v>0</v>
      </c>
      <c r="I68" s="4">
        <f>H68*AA68</f>
        <v>0</v>
      </c>
      <c r="K68" s="4">
        <f>J68*AA68</f>
        <v>0</v>
      </c>
      <c r="M68" s="4">
        <f>L68*AA68</f>
        <v>0</v>
      </c>
      <c r="Z68" s="4">
        <f>B68+D68+F68+H68+J68+L68+N68</f>
        <v>0</v>
      </c>
    </row>
    <row r="69" spans="3:26" ht="12.75">
      <c r="C69" s="4">
        <f>B69*AA69</f>
        <v>0</v>
      </c>
      <c r="E69" s="4">
        <f>D69*AA69</f>
        <v>0</v>
      </c>
      <c r="G69" s="4">
        <f>F69*AA69</f>
        <v>0</v>
      </c>
      <c r="I69" s="4">
        <f>H69*AA69</f>
        <v>0</v>
      </c>
      <c r="K69" s="4">
        <f>J69*AA69</f>
        <v>0</v>
      </c>
      <c r="M69" s="4">
        <f>L69*AA69</f>
        <v>0</v>
      </c>
      <c r="Z69" s="4">
        <f>B69+D69+F69+H69+J69+L69+N69</f>
        <v>0</v>
      </c>
    </row>
    <row r="70" spans="3:26" ht="12.75">
      <c r="C70" s="4">
        <f>B70*AA70</f>
        <v>0</v>
      </c>
      <c r="E70" s="4">
        <f>D70*AA70</f>
        <v>0</v>
      </c>
      <c r="G70" s="4">
        <f>F70*AA70</f>
        <v>0</v>
      </c>
      <c r="I70" s="4">
        <f>H70*AA70</f>
        <v>0</v>
      </c>
      <c r="K70" s="4">
        <f>J70*AA70</f>
        <v>0</v>
      </c>
      <c r="M70" s="4">
        <f>L70*AA70</f>
        <v>0</v>
      </c>
      <c r="Z70" s="4">
        <f>B70+D70+F70+H70+J70+L70+N70</f>
        <v>0</v>
      </c>
    </row>
    <row r="71" spans="3:26" ht="12.75">
      <c r="C71" s="4">
        <f>B71*AA71</f>
        <v>0</v>
      </c>
      <c r="E71" s="4">
        <f>D71*AA71</f>
        <v>0</v>
      </c>
      <c r="G71" s="4">
        <f>F71*AA71</f>
        <v>0</v>
      </c>
      <c r="I71" s="4">
        <f>H71*AA71</f>
        <v>0</v>
      </c>
      <c r="K71" s="4">
        <f>J71*AA71</f>
        <v>0</v>
      </c>
      <c r="M71" s="4">
        <f>L71*AA71</f>
        <v>0</v>
      </c>
      <c r="Z71" s="4">
        <f>B71+D71+F71+H71+J71+L71+N71</f>
        <v>0</v>
      </c>
    </row>
    <row r="72" spans="3:26" ht="12.75">
      <c r="C72" s="4">
        <f>B72*AA72</f>
        <v>0</v>
      </c>
      <c r="E72" s="4">
        <f>D72*AA72</f>
        <v>0</v>
      </c>
      <c r="G72" s="4">
        <f>F72*AA72</f>
        <v>0</v>
      </c>
      <c r="I72" s="4">
        <f>H72*AA72</f>
        <v>0</v>
      </c>
      <c r="K72" s="4">
        <f>J72*AA72</f>
        <v>0</v>
      </c>
      <c r="M72" s="4">
        <f>L72*AA72</f>
        <v>0</v>
      </c>
      <c r="Z72" s="4">
        <f>B72+D72+F72+H72+J72+L72+N72</f>
        <v>0</v>
      </c>
    </row>
    <row r="73" spans="3:26" ht="12.75">
      <c r="C73" s="4">
        <f>B73*AA73</f>
        <v>0</v>
      </c>
      <c r="E73" s="4">
        <f>D73*AA73</f>
        <v>0</v>
      </c>
      <c r="G73" s="4">
        <f>F73*AA73</f>
        <v>0</v>
      </c>
      <c r="I73" s="4">
        <f>H73*AA73</f>
        <v>0</v>
      </c>
      <c r="M73" s="4">
        <f>L73*AA73</f>
        <v>0</v>
      </c>
      <c r="Z73" s="4">
        <f>B73+D73+F73+H73+J73+L73+N73</f>
        <v>0</v>
      </c>
    </row>
    <row r="74" spans="3:26" ht="12.75">
      <c r="C74" s="4">
        <f>B74*AA74</f>
        <v>0</v>
      </c>
      <c r="E74" s="4">
        <f>D74*AA74</f>
        <v>0</v>
      </c>
      <c r="G74" s="4">
        <f>F74*AA74</f>
        <v>0</v>
      </c>
      <c r="I74" s="4">
        <f>H74*AA74</f>
        <v>0</v>
      </c>
      <c r="M74" s="4">
        <f>L74*AA74</f>
        <v>0</v>
      </c>
      <c r="Z74" s="4">
        <f>B74+D74+F74+H74+J74+L74+N74</f>
        <v>0</v>
      </c>
    </row>
    <row r="75" spans="3:26" ht="12.75">
      <c r="C75" s="4">
        <f>B75*AA75</f>
        <v>0</v>
      </c>
      <c r="E75" s="4">
        <f>D75*AA75</f>
        <v>0</v>
      </c>
      <c r="G75" s="4">
        <f>F75*AA75</f>
        <v>0</v>
      </c>
      <c r="I75" s="4">
        <f>H75*AA75</f>
        <v>0</v>
      </c>
      <c r="M75" s="4">
        <f>L75*AA75</f>
        <v>0</v>
      </c>
      <c r="Z75" s="4">
        <f>B75+D75+F75+H75+J75+L75+N75</f>
        <v>0</v>
      </c>
    </row>
    <row r="76" spans="3:26" ht="12.75">
      <c r="C76" s="4">
        <f>B76*AA76</f>
        <v>0</v>
      </c>
      <c r="E76" s="4">
        <f>D76*AA76</f>
        <v>0</v>
      </c>
      <c r="G76" s="4">
        <f>F76*AA76</f>
        <v>0</v>
      </c>
      <c r="I76" s="4">
        <f>H76*AA76</f>
        <v>0</v>
      </c>
      <c r="M76" s="4">
        <f>L76*AA76</f>
        <v>0</v>
      </c>
      <c r="Z76" s="4">
        <f>B76+D76+F76+H76+J76+L76+N76</f>
        <v>0</v>
      </c>
    </row>
    <row r="77" spans="3:26" ht="12.75">
      <c r="C77" s="4">
        <f>B77*AA77</f>
        <v>0</v>
      </c>
      <c r="E77" s="4">
        <f>D77*AA77</f>
        <v>0</v>
      </c>
      <c r="G77" s="4">
        <f>F77*AA77</f>
        <v>0</v>
      </c>
      <c r="I77" s="4">
        <f>H77*AA77</f>
        <v>0</v>
      </c>
      <c r="M77" s="4">
        <f>L77*AA77</f>
        <v>0</v>
      </c>
      <c r="Z77" s="4">
        <f>B77+D77+F77+H77+J77+L77+N77</f>
        <v>0</v>
      </c>
    </row>
    <row r="78" spans="3:26" ht="12.75">
      <c r="C78" s="4">
        <f>B78*AA78</f>
        <v>0</v>
      </c>
      <c r="E78" s="4">
        <f>D78*AA78</f>
        <v>0</v>
      </c>
      <c r="G78" s="4">
        <f>F78*AA78</f>
        <v>0</v>
      </c>
      <c r="I78" s="4">
        <f>H78*AA78</f>
        <v>0</v>
      </c>
      <c r="Z78" s="4">
        <f>B78+D78+F78+H78+J78+L78+N78</f>
        <v>0</v>
      </c>
    </row>
    <row r="79" spans="3:26" ht="12.75">
      <c r="C79" s="4">
        <f>B79*AA79</f>
        <v>0</v>
      </c>
      <c r="E79" s="4">
        <f>D79*AA79</f>
        <v>0</v>
      </c>
      <c r="G79" s="4">
        <f>F79*AA79</f>
        <v>0</v>
      </c>
      <c r="I79" s="4">
        <f>H79*AA79</f>
        <v>0</v>
      </c>
      <c r="Z79" s="4">
        <f>B79+D79+F79+H79+J79+L79+N79</f>
        <v>0</v>
      </c>
    </row>
    <row r="80" spans="3:26" ht="12.75">
      <c r="C80" s="4">
        <f>B80*AA80</f>
        <v>0</v>
      </c>
      <c r="E80" s="4">
        <f>D80*AA80</f>
        <v>0</v>
      </c>
      <c r="G80" s="4">
        <f>F80*AA80</f>
        <v>0</v>
      </c>
      <c r="I80" s="4">
        <f>H80*AA80</f>
        <v>0</v>
      </c>
      <c r="Z80" s="4">
        <f>B80+D80+F80+H80+J80+L80+N80</f>
        <v>0</v>
      </c>
    </row>
    <row r="81" spans="3:26" ht="12.75">
      <c r="C81" s="4">
        <f>B81*AA81</f>
        <v>0</v>
      </c>
      <c r="E81" s="4">
        <f>D81*AA81</f>
        <v>0</v>
      </c>
      <c r="G81" s="4">
        <f>F81*AA81</f>
        <v>0</v>
      </c>
      <c r="I81" s="4">
        <f>H81*AA81</f>
        <v>0</v>
      </c>
      <c r="Z81" s="4">
        <f>B81+D81+F81+H81+J81+L81+N81</f>
        <v>0</v>
      </c>
    </row>
    <row r="82" spans="3:26" ht="12.75">
      <c r="C82" s="4">
        <f>B82*AA82</f>
        <v>0</v>
      </c>
      <c r="E82" s="4">
        <f>D82*AA82</f>
        <v>0</v>
      </c>
      <c r="G82" s="4">
        <f>F82*AA82</f>
        <v>0</v>
      </c>
      <c r="I82" s="4">
        <f>H82*AA82</f>
        <v>0</v>
      </c>
      <c r="Z82" s="4">
        <f>B82+D82+F82+H82+J82+L82+N82</f>
        <v>0</v>
      </c>
    </row>
    <row r="83" spans="3:26" ht="12.75">
      <c r="C83" s="4">
        <f>B83*AA83</f>
        <v>0</v>
      </c>
      <c r="E83" s="4">
        <f>D83*AA83</f>
        <v>0</v>
      </c>
      <c r="Z83" s="4">
        <f>B83+D83+F83+H83+J83+L83+N83</f>
        <v>0</v>
      </c>
    </row>
    <row r="84" spans="3:26" ht="12.75">
      <c r="C84" s="4">
        <f>B84*AA84</f>
        <v>0</v>
      </c>
      <c r="E84" s="4">
        <f>D84*AA84</f>
        <v>0</v>
      </c>
      <c r="Z84" s="4">
        <f>B84+D84+F84+H84+J84+L84+N84</f>
        <v>0</v>
      </c>
    </row>
    <row r="85" spans="3:26" ht="12.75">
      <c r="C85" s="4">
        <f>B85*AA85</f>
        <v>0</v>
      </c>
      <c r="E85" s="4">
        <f>D85*AA85</f>
        <v>0</v>
      </c>
      <c r="Z85" s="4">
        <f>B85+D85+F85+H85+J85+L85+N85</f>
        <v>0</v>
      </c>
    </row>
    <row r="86" spans="3:26" ht="12.75">
      <c r="C86" s="4">
        <f>B86*AA86</f>
        <v>0</v>
      </c>
      <c r="E86" s="4">
        <f>D86*AA86</f>
        <v>0</v>
      </c>
      <c r="Z86" s="4">
        <f>B86+D86+F86+H86+J86+L86+N86</f>
        <v>0</v>
      </c>
    </row>
    <row r="87" spans="3:26" ht="12.75">
      <c r="C87" s="4">
        <f>B87*AA87</f>
        <v>0</v>
      </c>
      <c r="E87" s="4">
        <f>D87*AA87</f>
        <v>0</v>
      </c>
      <c r="Z87" s="4">
        <f>B87+D87+F87+H87+J87+L87+N87</f>
        <v>0</v>
      </c>
    </row>
    <row r="88" spans="3:26" ht="12.75">
      <c r="C88" s="4">
        <f>B88*AA88</f>
        <v>0</v>
      </c>
      <c r="E88" s="4">
        <f>D88*AA88</f>
        <v>0</v>
      </c>
      <c r="Z88" s="4">
        <f>B88+D88+F88+H88+J88+L88+N88</f>
        <v>0</v>
      </c>
    </row>
    <row r="89" spans="3:26" ht="12.75">
      <c r="C89" s="4">
        <f>B89*AA89</f>
        <v>0</v>
      </c>
      <c r="E89" s="4">
        <f>D89*AA89</f>
        <v>0</v>
      </c>
      <c r="Z89" s="4">
        <f>B89+D89+F89+H89+J89+L89+N89</f>
        <v>0</v>
      </c>
    </row>
    <row r="90" spans="3:26" ht="12.75">
      <c r="C90" s="4">
        <f>B90*AA90</f>
        <v>0</v>
      </c>
      <c r="E90" s="4">
        <f>D90*AA90</f>
        <v>0</v>
      </c>
      <c r="Z90" s="4">
        <f>B90+D90+F90+H90+J90+L90+N90</f>
        <v>0</v>
      </c>
    </row>
    <row r="91" spans="3:26" ht="12.75">
      <c r="C91" s="4">
        <f>B91*AA91</f>
        <v>0</v>
      </c>
      <c r="E91" s="4">
        <f>D91*AA91</f>
        <v>0</v>
      </c>
      <c r="Z91" s="4">
        <f>B91+D91+F91+H91+J91+L91+N91</f>
        <v>0</v>
      </c>
    </row>
    <row r="92" spans="3:26" ht="12.75">
      <c r="C92" s="4">
        <f>B92*AA92</f>
        <v>0</v>
      </c>
      <c r="E92" s="4">
        <f>D92*AA92</f>
        <v>0</v>
      </c>
      <c r="Z92" s="4">
        <f>B92+D92+F92+H92+J92+L92+N92</f>
        <v>0</v>
      </c>
    </row>
    <row r="93" spans="3:26" ht="12.75">
      <c r="C93" s="4">
        <f>B93*AA93</f>
        <v>0</v>
      </c>
      <c r="E93" s="4">
        <f>D93*AA93</f>
        <v>0</v>
      </c>
      <c r="Z93" s="4">
        <f>B93+D93+F93+H93+J93+L93+N93</f>
        <v>0</v>
      </c>
    </row>
    <row r="94" spans="3:26" ht="12.75">
      <c r="C94" s="4">
        <f>B94*AA94</f>
        <v>0</v>
      </c>
      <c r="E94" s="4">
        <f>D94*AA94</f>
        <v>0</v>
      </c>
      <c r="Z94" s="4">
        <f>B94+D94+F94+H94+J94+L94+N94</f>
        <v>0</v>
      </c>
    </row>
    <row r="95" spans="3:26" ht="12.75">
      <c r="C95" s="4">
        <f>B95*AA95</f>
        <v>0</v>
      </c>
      <c r="E95" s="4">
        <f>D95*AA95</f>
        <v>0</v>
      </c>
      <c r="Z95" s="4">
        <f>B95+D95+F95+H95+J95+L95+N95</f>
        <v>0</v>
      </c>
    </row>
    <row r="96" spans="3:26" ht="12.75">
      <c r="C96" s="4">
        <f>B96*AA96</f>
        <v>0</v>
      </c>
      <c r="E96" s="4">
        <f>D96*AA96</f>
        <v>0</v>
      </c>
      <c r="Z96" s="4">
        <f>B96+D96+F96+H96+J96+L96+N96</f>
        <v>0</v>
      </c>
    </row>
    <row r="97" spans="3:26" ht="12.75">
      <c r="C97" s="4">
        <f>B97*AA97</f>
        <v>0</v>
      </c>
      <c r="Z97" s="4">
        <f>B97+D97+F97+H97+J97+L97+N97</f>
        <v>0</v>
      </c>
    </row>
    <row r="98" spans="3:26" ht="12.75">
      <c r="C98" s="4">
        <f>B98*AA98</f>
        <v>0</v>
      </c>
      <c r="Z98" s="4">
        <f>B98+D98+F98+H98+J98+L98+N98</f>
        <v>0</v>
      </c>
    </row>
    <row r="99" spans="3:26" ht="12.75">
      <c r="C99" s="4">
        <f>B99*AA99</f>
        <v>0</v>
      </c>
      <c r="Z99" s="4">
        <f>B99+D99+F99+H99+J99+L99+N99</f>
        <v>0</v>
      </c>
    </row>
    <row r="100" spans="3:26" ht="12.75">
      <c r="C100" s="4">
        <f>B100*AA100</f>
        <v>0</v>
      </c>
      <c r="Z100" s="4">
        <f>B100+D100+F100+H100+J100+L100+N100</f>
        <v>0</v>
      </c>
    </row>
    <row r="101" spans="3:26" ht="12.75">
      <c r="C101" s="4">
        <f>B101*AA101</f>
        <v>0</v>
      </c>
      <c r="Z101" s="4">
        <f>B101+D101+F101+H101+J101+L101+N101</f>
        <v>0</v>
      </c>
    </row>
    <row r="102" spans="3:26" ht="12.75">
      <c r="C102" s="4">
        <f>B102*AA102</f>
        <v>0</v>
      </c>
      <c r="Z102" s="4">
        <f>B102+D102+F102+H102+J102+L102+N102</f>
        <v>0</v>
      </c>
    </row>
    <row r="103" spans="3:26" ht="12.75">
      <c r="C103" s="4">
        <f>B103*AA103</f>
        <v>0</v>
      </c>
      <c r="Z103" s="4">
        <f>B103+D103+F103+H103+J103+L103+N103</f>
        <v>0</v>
      </c>
    </row>
    <row r="104" spans="3:26" ht="12.75">
      <c r="C104" s="4">
        <f>B104*AA104</f>
        <v>0</v>
      </c>
      <c r="Z104" s="4">
        <f>B104+D104+F104+H104+J104+L104+N104</f>
        <v>0</v>
      </c>
    </row>
    <row r="105" spans="3:26" ht="12.75">
      <c r="C105" s="4">
        <f>B105*AA105</f>
        <v>0</v>
      </c>
      <c r="Z105" s="4">
        <f>B105+D105+F105+H105+J105+L105+N105</f>
        <v>0</v>
      </c>
    </row>
    <row r="106" spans="3:26" ht="12.75">
      <c r="C106" s="4">
        <f>B106*AA106</f>
        <v>0</v>
      </c>
      <c r="Z106" s="4">
        <f>B106+D106+F106+H106+J106+L106+N106</f>
        <v>0</v>
      </c>
    </row>
    <row r="107" spans="3:26" ht="12.75">
      <c r="C107" s="4">
        <f>B107*AA107</f>
        <v>0</v>
      </c>
      <c r="Z107" s="4">
        <f>B107+D107+F107+H107+J107+L107+N107</f>
        <v>0</v>
      </c>
    </row>
    <row r="108" spans="3:26" ht="12.75">
      <c r="C108" s="4">
        <f>B108*AA108</f>
        <v>0</v>
      </c>
      <c r="Z108" s="4">
        <f>B108+D108+F108+H108+J108+L108+N108</f>
        <v>0</v>
      </c>
    </row>
    <row r="109" spans="3:26" ht="12.75">
      <c r="C109" s="4">
        <f>B109*AA109</f>
        <v>0</v>
      </c>
      <c r="Z109" s="4">
        <f>B109+D109+F109+H109+J109+L109+N109</f>
        <v>0</v>
      </c>
    </row>
    <row r="110" spans="3:26" ht="12.75">
      <c r="C110" s="4">
        <f>B110*AA110</f>
        <v>0</v>
      </c>
      <c r="Z110" s="4">
        <f>B110+D110+F110+H110+J110+L110+N110</f>
        <v>0</v>
      </c>
    </row>
    <row r="111" spans="3:26" ht="12.75">
      <c r="C111" s="4">
        <f>B111*AA111</f>
        <v>0</v>
      </c>
      <c r="Z111" s="4">
        <f>B111+D111+F111+H111+J111+L111+N111</f>
        <v>0</v>
      </c>
    </row>
    <row r="112" spans="3:26" ht="12.75">
      <c r="C112" s="4">
        <f>B112*AA112</f>
        <v>0</v>
      </c>
      <c r="Z112" s="4">
        <f>B112+D112+F112+H112+J112+L112+N112</f>
        <v>0</v>
      </c>
    </row>
    <row r="113" spans="3:26" ht="12.75">
      <c r="C113" s="4">
        <f>B113*AA113</f>
        <v>0</v>
      </c>
      <c r="Z113" s="4">
        <f>B113+D113+F113+H113+J113+L113+N113</f>
        <v>0</v>
      </c>
    </row>
    <row r="114" spans="3:26" ht="12.75">
      <c r="C114" s="4">
        <f>B114*AA114</f>
        <v>0</v>
      </c>
      <c r="Z114" s="4">
        <f>B114+D114+F114+H114+J114+L114+N114</f>
        <v>0</v>
      </c>
    </row>
    <row r="115" spans="3:26" ht="12.75">
      <c r="C115" s="4">
        <f>B115*AA115</f>
        <v>0</v>
      </c>
      <c r="Z115" s="4">
        <f>B115+D115+F115+H115+J115+L115+N115</f>
        <v>0</v>
      </c>
    </row>
    <row r="116" spans="3:26" ht="12.75">
      <c r="C116" s="4">
        <f>B116*AA116</f>
        <v>0</v>
      </c>
      <c r="Z116" s="4">
        <f>B116+D116+F116+H116+J116+L116+N116</f>
        <v>0</v>
      </c>
    </row>
    <row r="117" spans="3:26" ht="12.75">
      <c r="C117" s="4">
        <f>B117*AA117</f>
        <v>0</v>
      </c>
      <c r="Z117" s="4">
        <f>B117+D117+F117+H117+J117+L117+N117</f>
        <v>0</v>
      </c>
    </row>
    <row r="118" spans="3:26" ht="12.75">
      <c r="C118" s="4">
        <f>B118*AA118</f>
        <v>0</v>
      </c>
      <c r="Z118" s="4">
        <f>B118+D118+F118+H118+J118+L118+N118</f>
        <v>0</v>
      </c>
    </row>
    <row r="119" spans="3:26" ht="12.75">
      <c r="C119" s="4">
        <f>B119*AA119</f>
        <v>0</v>
      </c>
      <c r="Z119" s="4">
        <f>B119+D119+F119+H119+J119+L119+N119</f>
        <v>0</v>
      </c>
    </row>
    <row r="120" spans="3:26" ht="12.75">
      <c r="C120" s="4">
        <f>B120*AA120</f>
        <v>0</v>
      </c>
      <c r="Z120" s="4">
        <f>B120+D120+F120+H120+J120+L120+N120</f>
        <v>0</v>
      </c>
    </row>
    <row r="121" spans="3:26" ht="12.75">
      <c r="C121" s="4">
        <f>B121*AA121</f>
        <v>0</v>
      </c>
      <c r="Z121" s="4">
        <f>B121+D121+F121+H121+J121+L121+N121</f>
        <v>0</v>
      </c>
    </row>
    <row r="122" spans="3:26" ht="12.75">
      <c r="C122" s="4">
        <f>B122*AA122</f>
        <v>0</v>
      </c>
      <c r="Z122" s="4">
        <f>B122+D122+F122+H122+J122+L122+N122</f>
        <v>0</v>
      </c>
    </row>
    <row r="123" spans="3:26" ht="12.75">
      <c r="C123" s="4">
        <f>B123*AA123</f>
        <v>0</v>
      </c>
      <c r="Z123" s="4">
        <f>B123+D123+F123+H123+J123+L123+N123</f>
        <v>0</v>
      </c>
    </row>
    <row r="124" spans="3:26" ht="12.75">
      <c r="C124" s="4">
        <f>B124*AA124</f>
        <v>0</v>
      </c>
      <c r="Z124" s="4">
        <f>B124+D124+F124+H124+J124+L124+N124</f>
        <v>0</v>
      </c>
    </row>
    <row r="125" spans="3:26" ht="12.75">
      <c r="C125" s="4">
        <f>B125*AA125</f>
        <v>0</v>
      </c>
      <c r="Z125" s="4">
        <f>B125+D125+F125+H125+J125+L125+N125</f>
        <v>0</v>
      </c>
    </row>
    <row r="126" spans="3:26" ht="12.75">
      <c r="C126" s="4">
        <f>B126*AA126</f>
        <v>0</v>
      </c>
      <c r="Z126" s="4">
        <f>B126+D126+F126+H126+J126+L126+N126</f>
        <v>0</v>
      </c>
    </row>
    <row r="127" spans="3:26" ht="12.75">
      <c r="C127" s="4">
        <f>B127*AA127</f>
        <v>0</v>
      </c>
      <c r="Z127" s="4">
        <f>B127+D127+F127+H127+J127+L127+N127</f>
        <v>0</v>
      </c>
    </row>
    <row r="128" spans="3:26" ht="12.75">
      <c r="C128" s="4">
        <f>B128*AA128</f>
        <v>0</v>
      </c>
      <c r="Z128" s="4">
        <f>B128+D128+F128+H128+J128+L128+N128</f>
        <v>0</v>
      </c>
    </row>
    <row r="129" spans="3:26" ht="12.75">
      <c r="C129" s="4">
        <f>B129*AA129</f>
        <v>0</v>
      </c>
      <c r="Z129" s="4">
        <f>B129+D129+F129+H129+J129+L129+N129</f>
        <v>0</v>
      </c>
    </row>
    <row r="130" spans="3:26" ht="12.75">
      <c r="C130" s="4">
        <f>B130*AA130</f>
        <v>0</v>
      </c>
      <c r="Z130" s="4">
        <f>B130+D130+F130+H130+J130+L130+N130</f>
        <v>0</v>
      </c>
    </row>
    <row r="131" spans="3:26" ht="12.75">
      <c r="C131" s="4">
        <f>B131*AA131</f>
        <v>0</v>
      </c>
      <c r="Z131" s="4">
        <f>B131+D131+F131+H131+J131+L131+N131</f>
        <v>0</v>
      </c>
    </row>
    <row r="132" spans="3:26" ht="12.75">
      <c r="C132" s="4">
        <f>B132*AA132</f>
        <v>0</v>
      </c>
      <c r="Z132" s="4">
        <f>B132+D132+F132+H132+J132+L132+N132</f>
        <v>0</v>
      </c>
    </row>
    <row r="133" ht="12.75">
      <c r="Z133" s="4">
        <f>B133+D133+F133+H133+J133+L133+N133</f>
        <v>0</v>
      </c>
    </row>
    <row r="134" ht="12.75">
      <c r="Z134" s="4">
        <f>B134+D134+F134+H134+J134+L134+N134</f>
        <v>0</v>
      </c>
    </row>
    <row r="135" ht="12.75">
      <c r="Z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35"/>
  <sheetViews>
    <sheetView zoomScale="95" zoomScaleNormal="95" workbookViewId="0" topLeftCell="S1">
      <selection activeCell="AH20" sqref="AH20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3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0.625" style="4" customWidth="1"/>
    <col min="48" max="48" width="14.625" style="4" customWidth="1"/>
    <col min="49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49" ht="14.25">
      <c r="A2" s="27">
        <v>42826</v>
      </c>
      <c r="B2" s="4">
        <f>520*2</f>
        <v>1040</v>
      </c>
      <c r="C2" s="4">
        <f>B2*AD2</f>
        <v>6.185689644917623</v>
      </c>
      <c r="D2" s="4">
        <f>1000+1000+1750</f>
        <v>3750</v>
      </c>
      <c r="E2" s="4">
        <f>D2*AD2</f>
        <v>22.304169392731815</v>
      </c>
      <c r="G2" s="4">
        <f>F2*AD2</f>
        <v>0</v>
      </c>
      <c r="I2" s="4">
        <f>H2*AD2</f>
        <v>0</v>
      </c>
      <c r="K2" s="4">
        <f>J2*AD2</f>
        <v>0</v>
      </c>
      <c r="L2" s="4">
        <v>9750</v>
      </c>
      <c r="M2" s="4">
        <f>L2*AD2</f>
        <v>57.99084042110272</v>
      </c>
      <c r="O2" s="4">
        <f>N2*AD2</f>
        <v>0</v>
      </c>
      <c r="Q2" s="4">
        <f>P2*AD2</f>
        <v>0</v>
      </c>
      <c r="Y2" s="4" t="s">
        <v>119</v>
      </c>
      <c r="AB2" s="4" t="s">
        <v>185</v>
      </c>
      <c r="AC2" s="4">
        <f>B2+D2+F2+H2+J2+L2+N2</f>
        <v>14540</v>
      </c>
      <c r="AD2" s="4">
        <f>1/168.13</f>
        <v>0.005947778504728484</v>
      </c>
      <c r="AE2" s="24">
        <f>AC2*AD2</f>
        <v>86.48069945875216</v>
      </c>
      <c r="AG2" s="4">
        <v>9</v>
      </c>
      <c r="AI2" s="4" t="s">
        <v>121</v>
      </c>
      <c r="AJ2" s="4">
        <f>SUM(AE2:AE994)</f>
        <v>2516.8418292855827</v>
      </c>
      <c r="AL2" s="4" t="s">
        <v>122</v>
      </c>
      <c r="AM2" s="28">
        <f>AJ2/AJ5</f>
        <v>83.89472764285276</v>
      </c>
      <c r="AO2" s="4" t="s">
        <v>123</v>
      </c>
      <c r="AP2" s="4">
        <f>COUNTBLANK(L2:L40)-COUNTBLANK(A2:A40)</f>
        <v>8</v>
      </c>
      <c r="AQ2" s="29"/>
      <c r="AR2" s="29" t="s">
        <v>186</v>
      </c>
      <c r="AS2" s="29">
        <f>SUMIF(AG2:AG44,"=9",AE2:AE44)</f>
        <v>1556.3160167855826</v>
      </c>
      <c r="AT2" s="29"/>
      <c r="AU2" s="29"/>
      <c r="AV2" s="29" t="s">
        <v>187</v>
      </c>
      <c r="AW2" s="29">
        <f>SUMIF(AG2:AG44,"=10",AE2:AE44)</f>
        <v>960.5258125000001</v>
      </c>
    </row>
    <row r="3" spans="1:49" ht="14.25">
      <c r="A3" s="27">
        <v>42827</v>
      </c>
      <c r="B3" s="4">
        <f>3000*2</f>
        <v>6000</v>
      </c>
      <c r="C3" s="4">
        <f>B3*AD3</f>
        <v>35.6866710283709</v>
      </c>
      <c r="D3" s="4">
        <f>865+1170</f>
        <v>2035</v>
      </c>
      <c r="E3" s="4">
        <f>D3*AD3</f>
        <v>12.103729257122465</v>
      </c>
      <c r="G3" s="4">
        <f>F3*AD3</f>
        <v>0</v>
      </c>
      <c r="I3" s="4">
        <f>H3*AD3</f>
        <v>0</v>
      </c>
      <c r="J3" s="4">
        <v>1000</v>
      </c>
      <c r="K3" s="4">
        <f>J3*AD3</f>
        <v>5.9477785047284835</v>
      </c>
      <c r="L3" s="4">
        <v>9750</v>
      </c>
      <c r="M3" s="4">
        <f>L3*AD3</f>
        <v>57.99084042110272</v>
      </c>
      <c r="O3" s="4">
        <f>N3*AD3</f>
        <v>0</v>
      </c>
      <c r="Q3" s="4">
        <f>P3*AD3</f>
        <v>0</v>
      </c>
      <c r="Y3" s="4" t="s">
        <v>119</v>
      </c>
      <c r="AB3" s="4" t="s">
        <v>188</v>
      </c>
      <c r="AC3" s="4">
        <f>B3+D3+F3+H3+J3+L3+N3</f>
        <v>18785</v>
      </c>
      <c r="AD3" s="4">
        <f>1/168.13</f>
        <v>0.005947778504728484</v>
      </c>
      <c r="AE3" s="24">
        <f>AC3*AD3</f>
        <v>111.72901921132457</v>
      </c>
      <c r="AG3" s="4">
        <v>9</v>
      </c>
      <c r="AI3" s="30"/>
      <c r="AL3" s="30"/>
      <c r="AM3" s="31"/>
      <c r="AO3" s="4" t="s">
        <v>126</v>
      </c>
      <c r="AP3" s="4">
        <f>COUNT(L2:L36)</f>
        <v>22</v>
      </c>
      <c r="AR3" s="29" t="s">
        <v>189</v>
      </c>
      <c r="AS3" s="29">
        <f>_xlfn.COUNTIFS(A2:A44,"&lt;&gt;''",AG2:AG44,"=9")</f>
        <v>19</v>
      </c>
      <c r="AT3" s="29"/>
      <c r="AU3" s="29"/>
      <c r="AV3" s="29" t="s">
        <v>190</v>
      </c>
      <c r="AW3" s="29">
        <f>_xlfn.COUNTIFS(A2:A44,"&lt;&gt;''",AG2:AG44,"=10")</f>
        <v>11</v>
      </c>
    </row>
    <row r="4" spans="1:49" ht="14.25">
      <c r="A4" s="27">
        <v>42828</v>
      </c>
      <c r="B4" s="4">
        <f>520*2+245*2</f>
        <v>1530</v>
      </c>
      <c r="C4" s="4">
        <f>B4*AD4</f>
        <v>9.10010111223458</v>
      </c>
      <c r="D4" s="4">
        <v>6280</v>
      </c>
      <c r="E4" s="4">
        <f>D4*AD4</f>
        <v>37.35204900969488</v>
      </c>
      <c r="G4" s="4">
        <f>F4*AD4</f>
        <v>0</v>
      </c>
      <c r="I4" s="4">
        <f>H4*AD4</f>
        <v>0</v>
      </c>
      <c r="K4" s="4">
        <f>J4*AD4</f>
        <v>0</v>
      </c>
      <c r="L4" s="4">
        <v>7320</v>
      </c>
      <c r="M4" s="4">
        <f>L4*AD4</f>
        <v>43.537738654612504</v>
      </c>
      <c r="O4" s="4">
        <f>N4*AD4</f>
        <v>0</v>
      </c>
      <c r="Q4" s="4">
        <f>P4*AD4</f>
        <v>0</v>
      </c>
      <c r="Y4" s="4" t="s">
        <v>119</v>
      </c>
      <c r="AB4" s="4" t="s">
        <v>191</v>
      </c>
      <c r="AC4" s="4">
        <f>B4+D4+F4+H4+J4+L4+N4</f>
        <v>15130</v>
      </c>
      <c r="AD4" s="4">
        <f>1/168.13</f>
        <v>0.005947778504728484</v>
      </c>
      <c r="AE4" s="24">
        <f>AC4*AD4</f>
        <v>89.98988877654196</v>
      </c>
      <c r="AG4" s="4">
        <v>9</v>
      </c>
      <c r="AO4" s="4" t="s">
        <v>130</v>
      </c>
      <c r="AP4" s="4">
        <f>COUNTA(W2:W49)</f>
        <v>0</v>
      </c>
      <c r="AR4" s="29" t="s">
        <v>192</v>
      </c>
      <c r="AS4" s="29">
        <f>AS2/AS3</f>
        <v>81.91136930450435</v>
      </c>
      <c r="AT4" s="29"/>
      <c r="AU4" s="29"/>
      <c r="AV4" s="29" t="s">
        <v>193</v>
      </c>
      <c r="AW4" s="29">
        <f>AW2/AW3</f>
        <v>87.32052840909093</v>
      </c>
    </row>
    <row r="5" spans="1:42" ht="14.25">
      <c r="A5" s="27">
        <v>42829</v>
      </c>
      <c r="B5" s="4">
        <f>245*4</f>
        <v>980</v>
      </c>
      <c r="C5" s="4">
        <f>B5*AD5</f>
        <v>5.828822934633914</v>
      </c>
      <c r="D5" s="4">
        <f>6750+700+2275</f>
        <v>9725</v>
      </c>
      <c r="E5" s="4">
        <f>D5*AD5</f>
        <v>57.8421459584845</v>
      </c>
      <c r="G5" s="4">
        <f>F5*AD5</f>
        <v>0</v>
      </c>
      <c r="I5" s="4">
        <f>H5*AD5</f>
        <v>0</v>
      </c>
      <c r="K5" s="4">
        <f>J5*AD5</f>
        <v>0</v>
      </c>
      <c r="L5" s="4">
        <v>7320</v>
      </c>
      <c r="M5" s="4">
        <f>L5*AD5</f>
        <v>43.537738654612504</v>
      </c>
      <c r="O5" s="4">
        <f>N5*AD5</f>
        <v>0</v>
      </c>
      <c r="Q5" s="4">
        <f>P5*AD5</f>
        <v>0</v>
      </c>
      <c r="Y5" s="4" t="s">
        <v>119</v>
      </c>
      <c r="AB5" s="4" t="s">
        <v>182</v>
      </c>
      <c r="AC5" s="4">
        <f>B5+D5+F5+H5+J5+L5+N5</f>
        <v>18025</v>
      </c>
      <c r="AD5" s="4">
        <f>1/168.13</f>
        <v>0.005947778504728484</v>
      </c>
      <c r="AE5" s="24">
        <f>AC5*AD5</f>
        <v>107.20870754773092</v>
      </c>
      <c r="AG5" s="4">
        <v>9</v>
      </c>
      <c r="AI5" s="4" t="s">
        <v>134</v>
      </c>
      <c r="AJ5" s="4">
        <f>COUNTA(A2:A349)</f>
        <v>30</v>
      </c>
      <c r="AO5" s="4" t="s">
        <v>135</v>
      </c>
      <c r="AP5" s="4">
        <f>COUNTA(R2:R49)</f>
        <v>2</v>
      </c>
    </row>
    <row r="6" spans="1:42" ht="14.25">
      <c r="A6" s="27">
        <v>42830</v>
      </c>
      <c r="C6" s="4">
        <f>B6*AD6</f>
        <v>0</v>
      </c>
      <c r="E6" s="4">
        <f>D6*AD6</f>
        <v>0</v>
      </c>
      <c r="G6" s="4">
        <f>F6*AD6</f>
        <v>0</v>
      </c>
      <c r="I6" s="4">
        <f>H6*AD6</f>
        <v>0</v>
      </c>
      <c r="K6" s="4">
        <f>J6*AD6</f>
        <v>0</v>
      </c>
      <c r="L6" s="4">
        <v>7320</v>
      </c>
      <c r="M6" s="4">
        <f>L6*AD6</f>
        <v>43.537738654612504</v>
      </c>
      <c r="O6" s="4">
        <f>N6*AD6</f>
        <v>0</v>
      </c>
      <c r="Q6" s="4">
        <f>P6*AD6</f>
        <v>0</v>
      </c>
      <c r="Y6" s="4" t="s">
        <v>119</v>
      </c>
      <c r="AB6" s="4" t="s">
        <v>182</v>
      </c>
      <c r="AC6" s="4">
        <f>B6+D6+F6+H6+J6+L6+N6</f>
        <v>7320</v>
      </c>
      <c r="AD6" s="4">
        <f>1/168.13</f>
        <v>0.005947778504728484</v>
      </c>
      <c r="AE6" s="24">
        <f>AC6*AD6</f>
        <v>43.537738654612504</v>
      </c>
      <c r="AG6" s="4">
        <v>9</v>
      </c>
      <c r="AI6" s="30"/>
      <c r="AO6" s="4" t="s">
        <v>136</v>
      </c>
      <c r="AP6" s="4">
        <f>COUNTA(T2:T49)</f>
        <v>9</v>
      </c>
    </row>
    <row r="7" spans="1:42" ht="12.75">
      <c r="A7" s="27">
        <v>42831</v>
      </c>
      <c r="C7" s="4">
        <f>B7*AD7</f>
        <v>0</v>
      </c>
      <c r="D7" s="4">
        <v>3255</v>
      </c>
      <c r="E7" s="4">
        <f>D7*AD7</f>
        <v>19.360019032891216</v>
      </c>
      <c r="G7" s="4">
        <f>F7*AD7</f>
        <v>0</v>
      </c>
      <c r="I7" s="4">
        <f>H7*AD7</f>
        <v>0</v>
      </c>
      <c r="K7" s="4">
        <f>J7*AD7</f>
        <v>0</v>
      </c>
      <c r="L7" s="4">
        <v>7320</v>
      </c>
      <c r="M7" s="4">
        <f>L7*AD7</f>
        <v>43.537738654612504</v>
      </c>
      <c r="O7" s="4">
        <f>N7*AD7</f>
        <v>0</v>
      </c>
      <c r="Q7" s="4">
        <f>P7*AD7</f>
        <v>0</v>
      </c>
      <c r="Y7" s="4" t="s">
        <v>119</v>
      </c>
      <c r="AB7" s="4" t="s">
        <v>182</v>
      </c>
      <c r="AC7" s="4">
        <f>B7+D7+F7+H7+J7+L7+N7</f>
        <v>10575</v>
      </c>
      <c r="AD7" s="4">
        <f>1/168.13</f>
        <v>0.005947778504728484</v>
      </c>
      <c r="AE7" s="24">
        <f>AC7*AD7</f>
        <v>62.89775768750371</v>
      </c>
      <c r="AG7" s="4">
        <v>9</v>
      </c>
      <c r="AL7" s="4" t="s">
        <v>138</v>
      </c>
      <c r="AO7" s="4" t="s">
        <v>109</v>
      </c>
      <c r="AP7" s="4">
        <f>COUNTA(U2:U49)</f>
        <v>0</v>
      </c>
    </row>
    <row r="8" spans="1:42" ht="12.75">
      <c r="A8" s="27">
        <v>42832</v>
      </c>
      <c r="C8" s="4">
        <f>B8*AD8</f>
        <v>0</v>
      </c>
      <c r="D8" s="4">
        <v>3130</v>
      </c>
      <c r="E8" s="4">
        <f>D8*AD8</f>
        <v>18.616546719800155</v>
      </c>
      <c r="G8" s="4">
        <f>F8*AD8</f>
        <v>0</v>
      </c>
      <c r="I8" s="4">
        <f>H8*AD8</f>
        <v>0</v>
      </c>
      <c r="K8" s="4">
        <f>J8*AD8</f>
        <v>0</v>
      </c>
      <c r="L8" s="4">
        <v>7320</v>
      </c>
      <c r="M8" s="4">
        <f>L8*AD8</f>
        <v>43.537738654612504</v>
      </c>
      <c r="O8" s="4">
        <f>N8*AD8</f>
        <v>0</v>
      </c>
      <c r="Q8" s="4">
        <f>P8*AD8</f>
        <v>0</v>
      </c>
      <c r="Y8" s="4" t="s">
        <v>119</v>
      </c>
      <c r="AB8" s="4" t="s">
        <v>182</v>
      </c>
      <c r="AC8" s="4">
        <f>B8+D8+F8+H8+J8+L8+N8</f>
        <v>10450</v>
      </c>
      <c r="AD8" s="4">
        <f>1/168.13</f>
        <v>0.005947778504728484</v>
      </c>
      <c r="AE8" s="24">
        <f>AC8*AD8</f>
        <v>62.15428537441265</v>
      </c>
      <c r="AG8" s="4">
        <v>9</v>
      </c>
      <c r="AI8" s="4" t="s">
        <v>140</v>
      </c>
      <c r="AJ8" s="26">
        <f>SUM(M2:M994)</f>
        <v>964.1001700791053</v>
      </c>
      <c r="AL8" s="4" t="s">
        <v>103</v>
      </c>
      <c r="AM8" s="26">
        <f>AJ8/$AJ$5</f>
        <v>32.136672335970175</v>
      </c>
      <c r="AO8" s="4" t="s">
        <v>141</v>
      </c>
      <c r="AP8" s="4">
        <f>COUNTA(S2:S49)</f>
        <v>0</v>
      </c>
    </row>
    <row r="9" spans="1:42" ht="14.25">
      <c r="A9" s="27">
        <v>42833</v>
      </c>
      <c r="B9" s="1">
        <f>245*4</f>
        <v>980</v>
      </c>
      <c r="C9" s="4">
        <f>B9*AD9</f>
        <v>5.828822934633914</v>
      </c>
      <c r="D9" s="4">
        <f>2653+660+2370</f>
        <v>5683</v>
      </c>
      <c r="E9" s="4">
        <f>D9*AD9</f>
        <v>33.80122524237197</v>
      </c>
      <c r="G9" s="4">
        <f>F9*AD9</f>
        <v>0</v>
      </c>
      <c r="I9" s="4">
        <f>H9*AD9</f>
        <v>0</v>
      </c>
      <c r="K9" s="4">
        <f>J9*AD9</f>
        <v>0</v>
      </c>
      <c r="L9" s="4">
        <v>7320</v>
      </c>
      <c r="M9" s="4">
        <f>L9*AD9</f>
        <v>43.537738654612504</v>
      </c>
      <c r="O9" s="4">
        <f>N9*AD9</f>
        <v>0</v>
      </c>
      <c r="Q9" s="4">
        <f>P9*AD9</f>
        <v>0</v>
      </c>
      <c r="Y9" s="4" t="s">
        <v>119</v>
      </c>
      <c r="AB9" s="4" t="s">
        <v>182</v>
      </c>
      <c r="AC9" s="4">
        <f>B9+D9+F9+H9+J9+L9+N9</f>
        <v>13983</v>
      </c>
      <c r="AD9" s="4">
        <f>1/168.13</f>
        <v>0.005947778504728484</v>
      </c>
      <c r="AE9" s="24">
        <f>AC9*AD9</f>
        <v>83.16778683161839</v>
      </c>
      <c r="AG9" s="4">
        <v>9</v>
      </c>
      <c r="AI9" s="4" t="s">
        <v>143</v>
      </c>
      <c r="AJ9" s="26">
        <f>SUM(C2:C994)</f>
        <v>204.66926765479093</v>
      </c>
      <c r="AL9" s="4" t="s">
        <v>93</v>
      </c>
      <c r="AM9" s="4">
        <f>AJ9/$AJ$5</f>
        <v>6.822308921826364</v>
      </c>
      <c r="AO9" s="4" t="s">
        <v>184</v>
      </c>
      <c r="AP9" s="4">
        <f>COUNTA(Y1:Y50)</f>
        <v>19</v>
      </c>
    </row>
    <row r="10" spans="1:39" ht="14.25">
      <c r="A10" s="27">
        <v>42834</v>
      </c>
      <c r="C10" s="4">
        <f>B10*AD10</f>
        <v>0</v>
      </c>
      <c r="D10" s="4">
        <v>1683</v>
      </c>
      <c r="E10" s="4">
        <f>D10*AD10</f>
        <v>10.010111223458038</v>
      </c>
      <c r="G10" s="4">
        <f>F10*AD10</f>
        <v>0</v>
      </c>
      <c r="I10" s="4">
        <f>H10*AD10</f>
        <v>0</v>
      </c>
      <c r="K10" s="4">
        <f>J10*AD10</f>
        <v>0</v>
      </c>
      <c r="L10" s="4">
        <v>7320</v>
      </c>
      <c r="M10" s="4">
        <f>L10*AD10</f>
        <v>43.537738654612504</v>
      </c>
      <c r="O10" s="4">
        <f>N10*AD10</f>
        <v>0</v>
      </c>
      <c r="Q10" s="4">
        <f>P10*AD10</f>
        <v>0</v>
      </c>
      <c r="Y10" s="4" t="s">
        <v>119</v>
      </c>
      <c r="AB10" s="4" t="s">
        <v>182</v>
      </c>
      <c r="AC10" s="4">
        <f>B10+D10+F10+H10+J10+L10+N10</f>
        <v>9003</v>
      </c>
      <c r="AD10" s="4">
        <f>1/168.13</f>
        <v>0.005947778504728484</v>
      </c>
      <c r="AE10" s="24">
        <f>AC10*AD10</f>
        <v>53.54784987807054</v>
      </c>
      <c r="AG10" s="4">
        <v>9</v>
      </c>
      <c r="AI10" s="4" t="s">
        <v>145</v>
      </c>
      <c r="AJ10" s="26">
        <f>SUM(E2:E994)</f>
        <v>714.0838530469578</v>
      </c>
      <c r="AL10" s="4" t="s">
        <v>146</v>
      </c>
      <c r="AM10" s="4">
        <f>AJ10/$AJ$5</f>
        <v>23.80279510156526</v>
      </c>
    </row>
    <row r="11" spans="1:39" ht="14.25">
      <c r="A11" s="27">
        <v>42835</v>
      </c>
      <c r="C11" s="4">
        <f>B11*AD11</f>
        <v>0</v>
      </c>
      <c r="D11" s="4">
        <v>2200</v>
      </c>
      <c r="E11" s="4">
        <f>D11*AD11</f>
        <v>13.085112710402663</v>
      </c>
      <c r="G11" s="4">
        <f>F11*AD11</f>
        <v>0</v>
      </c>
      <c r="I11" s="4">
        <f>H11*AD11</f>
        <v>0</v>
      </c>
      <c r="K11" s="4">
        <f>J11*AD11</f>
        <v>0</v>
      </c>
      <c r="L11" s="4">
        <v>7320</v>
      </c>
      <c r="M11" s="4">
        <f>L11*AD11</f>
        <v>43.537738654612504</v>
      </c>
      <c r="O11" s="4">
        <f>N11*AD11</f>
        <v>0</v>
      </c>
      <c r="Q11" s="4">
        <f>P11*AD11</f>
        <v>0</v>
      </c>
      <c r="Y11" s="4" t="s">
        <v>119</v>
      </c>
      <c r="AB11" s="33" t="s">
        <v>182</v>
      </c>
      <c r="AC11" s="4">
        <f>B11+D11+F11+H11+J11+L11+N11</f>
        <v>9520</v>
      </c>
      <c r="AD11" s="4">
        <f>1/168.13</f>
        <v>0.005947778504728484</v>
      </c>
      <c r="AE11" s="24">
        <f>AC11*AD11</f>
        <v>56.622851365015165</v>
      </c>
      <c r="AG11" s="4">
        <v>9</v>
      </c>
      <c r="AI11" s="4" t="s">
        <v>149</v>
      </c>
      <c r="AJ11" s="26">
        <f>SUM(G2:G994)</f>
        <v>199.58625</v>
      </c>
      <c r="AL11" s="4" t="s">
        <v>150</v>
      </c>
      <c r="AM11" s="26">
        <f>AJ11/$AJ$5</f>
        <v>6.652875</v>
      </c>
    </row>
    <row r="12" spans="1:39" ht="14.25">
      <c r="A12" s="27">
        <v>42836</v>
      </c>
      <c r="B12" s="4">
        <f>245*4</f>
        <v>980</v>
      </c>
      <c r="C12" s="4">
        <f>B12*AD12</f>
        <v>5.8627519999999995</v>
      </c>
      <c r="D12" s="4">
        <f>5250+1980+280</f>
        <v>7510</v>
      </c>
      <c r="E12" s="4">
        <f>D12*AD12</f>
        <v>44.927824</v>
      </c>
      <c r="G12" s="4">
        <f>F12*AD12</f>
        <v>0</v>
      </c>
      <c r="I12" s="4">
        <f>H12*AD12</f>
        <v>0</v>
      </c>
      <c r="K12" s="4">
        <f>J12*AD12</f>
        <v>0</v>
      </c>
      <c r="L12" s="4">
        <v>6150</v>
      </c>
      <c r="M12" s="4">
        <f>L12*AD12</f>
        <v>36.79176</v>
      </c>
      <c r="O12" s="4">
        <f>N12*AD12</f>
        <v>0</v>
      </c>
      <c r="Q12" s="4">
        <f>P12*AD12</f>
        <v>0</v>
      </c>
      <c r="Y12" s="4" t="s">
        <v>119</v>
      </c>
      <c r="AB12" s="33" t="s">
        <v>182</v>
      </c>
      <c r="AC12" s="4">
        <f>B12+D12+F12+H12+J12+L12+N12</f>
        <v>14640</v>
      </c>
      <c r="AD12" s="4">
        <v>0.0059824</v>
      </c>
      <c r="AE12" s="24">
        <f>AC12*AD12</f>
        <v>87.582336</v>
      </c>
      <c r="AG12" s="4">
        <v>9</v>
      </c>
      <c r="AI12" s="4" t="s">
        <v>151</v>
      </c>
      <c r="AJ12" s="26">
        <f>SUM(K2:K994)</f>
        <v>139.28324850472848</v>
      </c>
      <c r="AL12" s="4" t="s">
        <v>101</v>
      </c>
      <c r="AM12" s="26">
        <f>AJ12/$AJ$5</f>
        <v>4.642774950157616</v>
      </c>
    </row>
    <row r="13" spans="1:39" ht="14.25">
      <c r="A13" s="27">
        <v>42837</v>
      </c>
      <c r="B13" s="1"/>
      <c r="C13" s="4">
        <f>B13*AD13</f>
        <v>0</v>
      </c>
      <c r="D13" s="4">
        <v>4320</v>
      </c>
      <c r="E13" s="4">
        <f>D13*AD13</f>
        <v>25.843968</v>
      </c>
      <c r="G13" s="4">
        <f>F13*AD13</f>
        <v>0</v>
      </c>
      <c r="I13" s="4">
        <f>H13*AD13</f>
        <v>0</v>
      </c>
      <c r="K13" s="4">
        <f>J13*AD13</f>
        <v>0</v>
      </c>
      <c r="L13" s="4">
        <v>6150</v>
      </c>
      <c r="M13" s="4">
        <f>L13*AD13</f>
        <v>36.79176</v>
      </c>
      <c r="O13" s="4">
        <f>N13*AD13</f>
        <v>0</v>
      </c>
      <c r="Q13" s="4">
        <f>P13*AD13</f>
        <v>0</v>
      </c>
      <c r="Y13" s="4" t="s">
        <v>119</v>
      </c>
      <c r="AB13" s="33" t="s">
        <v>182</v>
      </c>
      <c r="AC13" s="4">
        <f>B13+D13+F13+H13+J13+L13+N13</f>
        <v>10470</v>
      </c>
      <c r="AD13" s="4">
        <v>0.0059824</v>
      </c>
      <c r="AE13" s="24">
        <f>AC13*AD13</f>
        <v>62.635728</v>
      </c>
      <c r="AG13" s="4">
        <v>9</v>
      </c>
      <c r="AI13" s="4" t="s">
        <v>153</v>
      </c>
      <c r="AJ13" s="4">
        <f>SUM(I2:I994)</f>
        <v>154.488</v>
      </c>
      <c r="AL13" s="4" t="s">
        <v>99</v>
      </c>
      <c r="AM13" s="26">
        <f>AJ13/$AJ$5</f>
        <v>5.1496</v>
      </c>
    </row>
    <row r="14" spans="1:36" ht="12.75">
      <c r="A14" s="27">
        <v>42838</v>
      </c>
      <c r="B14" s="4">
        <v>980</v>
      </c>
      <c r="C14" s="4">
        <f>B14*AD14</f>
        <v>5.8627519999999995</v>
      </c>
      <c r="D14" s="4">
        <f>1835+5885</f>
        <v>7720</v>
      </c>
      <c r="E14" s="4">
        <f>D14*AD14</f>
        <v>46.184128</v>
      </c>
      <c r="G14" s="4">
        <f>F14*AD14</f>
        <v>0</v>
      </c>
      <c r="I14" s="4">
        <f>H14*AD14</f>
        <v>0</v>
      </c>
      <c r="J14" s="4">
        <v>300</v>
      </c>
      <c r="K14" s="4">
        <f>J14*AD14</f>
        <v>1.7947199999999999</v>
      </c>
      <c r="L14" s="4">
        <v>6150</v>
      </c>
      <c r="M14" s="4">
        <f>L14*AD14</f>
        <v>36.79176</v>
      </c>
      <c r="O14" s="4">
        <f>N14*AD14</f>
        <v>0</v>
      </c>
      <c r="Q14" s="4">
        <f>P14*AD14</f>
        <v>0</v>
      </c>
      <c r="Y14" s="4" t="s">
        <v>119</v>
      </c>
      <c r="AB14" s="33" t="s">
        <v>182</v>
      </c>
      <c r="AC14" s="4">
        <f>B14+D14+F14+H14+J14+L14+N14</f>
        <v>15150</v>
      </c>
      <c r="AD14" s="4">
        <v>0.0059824</v>
      </c>
      <c r="AE14" s="24">
        <f>AC14*AD14</f>
        <v>90.63336</v>
      </c>
      <c r="AG14" s="4">
        <v>9</v>
      </c>
      <c r="AI14" s="4" t="s">
        <v>163</v>
      </c>
      <c r="AJ14" s="26">
        <f>SUM(R2:R994)</f>
        <v>0</v>
      </c>
    </row>
    <row r="15" spans="1:36" ht="14.25">
      <c r="A15" s="27">
        <v>42839</v>
      </c>
      <c r="C15" s="4">
        <f>B15*AD15</f>
        <v>0</v>
      </c>
      <c r="D15" s="4">
        <f>3565</f>
        <v>3565</v>
      </c>
      <c r="E15" s="4">
        <f>D15*AD15</f>
        <v>21.327256</v>
      </c>
      <c r="G15" s="4">
        <f>F15*AD15</f>
        <v>0</v>
      </c>
      <c r="I15" s="4">
        <f>H15*AD15</f>
        <v>0</v>
      </c>
      <c r="K15" s="4">
        <f>J15*AD15</f>
        <v>0</v>
      </c>
      <c r="L15" s="4">
        <v>6150</v>
      </c>
      <c r="M15" s="4">
        <f>L15*AD15</f>
        <v>36.79176</v>
      </c>
      <c r="O15" s="4">
        <f>N15*AD15</f>
        <v>0</v>
      </c>
      <c r="Q15" s="4">
        <f>P15*AD15</f>
        <v>0</v>
      </c>
      <c r="Y15" s="4" t="s">
        <v>119</v>
      </c>
      <c r="AB15" s="33" t="s">
        <v>182</v>
      </c>
      <c r="AC15" s="4">
        <f>B15+D15+F15+H15+J15+L15+N15</f>
        <v>9715</v>
      </c>
      <c r="AD15" s="4">
        <v>0.0059824</v>
      </c>
      <c r="AE15" s="24">
        <f>AC15*AD15</f>
        <v>58.119015999999995</v>
      </c>
      <c r="AG15" s="4">
        <v>9</v>
      </c>
      <c r="AI15" s="30" t="s">
        <v>194</v>
      </c>
      <c r="AJ15" s="4">
        <f>SUM(Q2:Q59)</f>
        <v>140.63103999999998</v>
      </c>
    </row>
    <row r="16" spans="1:35" ht="14.25">
      <c r="A16" s="27">
        <v>42840</v>
      </c>
      <c r="B16" s="4">
        <v>980</v>
      </c>
      <c r="C16" s="4">
        <f>B16*AD16</f>
        <v>5.8627519999999995</v>
      </c>
      <c r="D16" s="4">
        <f>620+2530+200</f>
        <v>3350</v>
      </c>
      <c r="E16" s="4">
        <f>D16*AD16</f>
        <v>20.04104</v>
      </c>
      <c r="G16" s="4">
        <f>F16*AD16</f>
        <v>0</v>
      </c>
      <c r="I16" s="4">
        <f>H16*AD16</f>
        <v>0</v>
      </c>
      <c r="K16" s="4">
        <f>J16*AD16</f>
        <v>0</v>
      </c>
      <c r="L16" s="4">
        <v>6150</v>
      </c>
      <c r="M16" s="4">
        <f>L16*AD16</f>
        <v>36.79176</v>
      </c>
      <c r="O16" s="4">
        <f>N16*AD16</f>
        <v>0</v>
      </c>
      <c r="Q16" s="4">
        <f>P16*AD16</f>
        <v>0</v>
      </c>
      <c r="Y16" s="4" t="s">
        <v>119</v>
      </c>
      <c r="AB16" s="33" t="s">
        <v>182</v>
      </c>
      <c r="AC16" s="4">
        <f>B16+D16+F16+H16+J16+L16+N16</f>
        <v>10480</v>
      </c>
      <c r="AD16" s="4">
        <v>0.0059824</v>
      </c>
      <c r="AE16" s="24">
        <f>AC16*AD16</f>
        <v>62.695552</v>
      </c>
      <c r="AG16" s="4">
        <v>9</v>
      </c>
      <c r="AI16" s="30"/>
    </row>
    <row r="17" spans="1:33" ht="14.25">
      <c r="A17" s="27">
        <v>42841</v>
      </c>
      <c r="C17" s="4">
        <f>B17*AD17</f>
        <v>0</v>
      </c>
      <c r="E17" s="4">
        <f>D17*AD17</f>
        <v>0</v>
      </c>
      <c r="G17" s="4">
        <f>F17*AD17</f>
        <v>0</v>
      </c>
      <c r="I17" s="4">
        <f>H17*AD17</f>
        <v>0</v>
      </c>
      <c r="K17" s="4">
        <f>J17*AD17</f>
        <v>0</v>
      </c>
      <c r="L17" s="4">
        <v>6150</v>
      </c>
      <c r="M17" s="4">
        <f>L17*AD17</f>
        <v>36.79176</v>
      </c>
      <c r="O17" s="4">
        <f>N17*AD17</f>
        <v>0</v>
      </c>
      <c r="Q17" s="4">
        <f>P17*AD17</f>
        <v>0</v>
      </c>
      <c r="Y17" s="4" t="s">
        <v>119</v>
      </c>
      <c r="AB17" s="33" t="s">
        <v>182</v>
      </c>
      <c r="AC17" s="4">
        <f>B17+D17+F17+H17+J17+L17+N17</f>
        <v>6150</v>
      </c>
      <c r="AD17" s="4">
        <v>0.0059824</v>
      </c>
      <c r="AE17" s="24">
        <f>AC17*AD17</f>
        <v>36.79176</v>
      </c>
      <c r="AG17" s="4">
        <v>9</v>
      </c>
    </row>
    <row r="18" spans="1:33" ht="14.25">
      <c r="A18" s="27">
        <v>42842</v>
      </c>
      <c r="B18" s="4">
        <v>980</v>
      </c>
      <c r="C18" s="4">
        <f>B18*AD18</f>
        <v>5.8627519999999995</v>
      </c>
      <c r="D18" s="4">
        <v>2840</v>
      </c>
      <c r="E18" s="4">
        <f>D18*AD18</f>
        <v>16.990016</v>
      </c>
      <c r="G18" s="4">
        <f>F18*AD18</f>
        <v>0</v>
      </c>
      <c r="I18" s="4">
        <f>H18*AD18</f>
        <v>0</v>
      </c>
      <c r="K18" s="4">
        <f>J18*AD18</f>
        <v>0</v>
      </c>
      <c r="L18" s="4">
        <v>10800</v>
      </c>
      <c r="M18" s="4">
        <f>L18*AD18</f>
        <v>64.60992</v>
      </c>
      <c r="O18" s="4">
        <f>N18*AD18</f>
        <v>0</v>
      </c>
      <c r="Q18" s="4">
        <f>P18*AD18</f>
        <v>0</v>
      </c>
      <c r="Y18" s="4" t="s">
        <v>119</v>
      </c>
      <c r="AB18" s="33" t="s">
        <v>182</v>
      </c>
      <c r="AC18" s="4">
        <f>B18+D18+F18+H18+J18+L18+N18</f>
        <v>14620</v>
      </c>
      <c r="AD18" s="4">
        <v>0.0059824</v>
      </c>
      <c r="AE18" s="24">
        <f>AC18*AD18</f>
        <v>87.462688</v>
      </c>
      <c r="AG18" s="4">
        <v>9</v>
      </c>
    </row>
    <row r="19" spans="1:33" ht="14.25">
      <c r="A19" s="27">
        <v>42843</v>
      </c>
      <c r="B19" s="4">
        <f>245*2+410*2</f>
        <v>1310</v>
      </c>
      <c r="C19" s="4">
        <f>B19*AD19</f>
        <v>7.836944</v>
      </c>
      <c r="D19" s="4">
        <v>2300</v>
      </c>
      <c r="E19" s="4">
        <f>D19*AD19</f>
        <v>13.759519999999998</v>
      </c>
      <c r="G19" s="4">
        <f>F19*AD19</f>
        <v>0</v>
      </c>
      <c r="I19" s="4">
        <f>H19*AD19</f>
        <v>0</v>
      </c>
      <c r="K19" s="4">
        <f>J19*AD19</f>
        <v>0</v>
      </c>
      <c r="L19" s="4">
        <v>7000</v>
      </c>
      <c r="M19" s="4">
        <f>L19*AD19</f>
        <v>41.876799999999996</v>
      </c>
      <c r="O19" s="4">
        <f>N19*AD19</f>
        <v>0</v>
      </c>
      <c r="Q19" s="4">
        <f>P19*AD19</f>
        <v>0</v>
      </c>
      <c r="R19" s="4" t="s">
        <v>119</v>
      </c>
      <c r="AA19" s="4">
        <v>1</v>
      </c>
      <c r="AB19" s="33" t="s">
        <v>195</v>
      </c>
      <c r="AC19" s="4">
        <f>B19+D19+F19+H19+J19+L19+N19</f>
        <v>10610</v>
      </c>
      <c r="AD19" s="4">
        <v>0.0059824</v>
      </c>
      <c r="AE19" s="24">
        <f>AC19*AD19</f>
        <v>63.47326399999999</v>
      </c>
      <c r="AG19" s="4">
        <v>9</v>
      </c>
    </row>
    <row r="20" spans="1:33" ht="14.25">
      <c r="A20" s="27">
        <v>42844</v>
      </c>
      <c r="C20" s="4">
        <f>B20*AD20</f>
        <v>0</v>
      </c>
      <c r="D20" s="4">
        <v>700</v>
      </c>
      <c r="E20" s="4">
        <f>D20*AD20</f>
        <v>4.187679999999999</v>
      </c>
      <c r="G20" s="4">
        <f>F20*AD20</f>
        <v>0</v>
      </c>
      <c r="I20" s="4">
        <f>H20*AD20</f>
        <v>0</v>
      </c>
      <c r="K20" s="4">
        <f>J20*AD20</f>
        <v>0</v>
      </c>
      <c r="L20" s="4">
        <v>7000</v>
      </c>
      <c r="M20" s="4">
        <f>L20*AD20</f>
        <v>41.876799999999996</v>
      </c>
      <c r="O20" s="4">
        <f>N20*AD20</f>
        <v>0</v>
      </c>
      <c r="Q20" s="4">
        <f>P20*AD20</f>
        <v>0</v>
      </c>
      <c r="R20" s="4" t="s">
        <v>119</v>
      </c>
      <c r="AB20" s="33" t="s">
        <v>196</v>
      </c>
      <c r="AC20" s="4">
        <f>B20+D20+F20+H20+J20+L20+N20</f>
        <v>7700</v>
      </c>
      <c r="AD20" s="4">
        <v>0.0059824</v>
      </c>
      <c r="AE20" s="24">
        <f>AC20*AD20</f>
        <v>46.064479999999996</v>
      </c>
      <c r="AG20" s="4">
        <v>9</v>
      </c>
    </row>
    <row r="21" spans="1:33" ht="14.25">
      <c r="A21" s="5"/>
      <c r="B21" s="4">
        <f>1360+3060</f>
        <v>4420</v>
      </c>
      <c r="C21" s="4">
        <f>B21*AD21</f>
        <v>26.442207999999997</v>
      </c>
      <c r="E21" s="4">
        <f>D21*AD21</f>
        <v>0</v>
      </c>
      <c r="G21" s="4">
        <f>F21*AD21</f>
        <v>0</v>
      </c>
      <c r="I21" s="4">
        <f>H21*AD21</f>
        <v>0</v>
      </c>
      <c r="J21" s="4">
        <v>20000</v>
      </c>
      <c r="K21" s="4">
        <f>J21*AD21</f>
        <v>119.648</v>
      </c>
      <c r="M21" s="4">
        <f>L21*AD21</f>
        <v>0</v>
      </c>
      <c r="O21" s="4">
        <f>N21*AD21</f>
        <v>0</v>
      </c>
      <c r="P21" s="4">
        <f>4800*2</f>
        <v>9600</v>
      </c>
      <c r="Q21" s="4">
        <f>P21*AD21</f>
        <v>57.431039999999996</v>
      </c>
      <c r="AB21" s="33" t="s">
        <v>197</v>
      </c>
      <c r="AC21" s="4">
        <f>B21+D21+F21+H21+J21+L21+N21+P21</f>
        <v>34020</v>
      </c>
      <c r="AD21" s="4">
        <v>0.0059824</v>
      </c>
      <c r="AE21" s="24">
        <f>AC21*AD21</f>
        <v>203.52124799999999</v>
      </c>
      <c r="AG21" s="4">
        <v>9</v>
      </c>
    </row>
    <row r="22" spans="1:33" ht="14.25">
      <c r="A22" s="27"/>
      <c r="C22" s="4">
        <f>B22*AD22</f>
        <v>0</v>
      </c>
      <c r="E22" s="4">
        <f>D22*AD22</f>
        <v>0</v>
      </c>
      <c r="G22" s="4">
        <f>F22*AD22</f>
        <v>0</v>
      </c>
      <c r="I22" s="4">
        <f>H22*AD22</f>
        <v>0</v>
      </c>
      <c r="K22" s="4">
        <f>J22*AD22</f>
        <v>0</v>
      </c>
      <c r="M22" s="4">
        <f>L22*AD22</f>
        <v>0</v>
      </c>
      <c r="O22" s="4">
        <f>N22*AD22</f>
        <v>0</v>
      </c>
      <c r="P22" s="4">
        <f>13*2</f>
        <v>26</v>
      </c>
      <c r="Q22" s="4">
        <f>P22*AD22</f>
        <v>83.2</v>
      </c>
      <c r="AB22" s="33"/>
      <c r="AC22" s="4">
        <f>B22+D22+F22+H22+J22+L22+N22+P22</f>
        <v>26</v>
      </c>
      <c r="AD22" s="4">
        <v>3.2</v>
      </c>
      <c r="AE22" s="24">
        <f>AC22*AD22</f>
        <v>83.2</v>
      </c>
      <c r="AG22" s="4">
        <v>10</v>
      </c>
    </row>
    <row r="23" spans="1:33" ht="14.25">
      <c r="A23" s="27">
        <v>42845</v>
      </c>
      <c r="B23" s="4">
        <f>40</f>
        <v>40</v>
      </c>
      <c r="C23" s="4">
        <f>B23*AD23</f>
        <v>4.71</v>
      </c>
      <c r="D23" s="4">
        <v>237</v>
      </c>
      <c r="E23" s="4">
        <f>D23*AD23</f>
        <v>27.906750000000002</v>
      </c>
      <c r="F23" s="4">
        <v>200</v>
      </c>
      <c r="G23" s="4">
        <f>F23*AD23</f>
        <v>23.55</v>
      </c>
      <c r="I23" s="4">
        <f>H23*AD23</f>
        <v>0</v>
      </c>
      <c r="K23" s="4">
        <f>J23*AD23</f>
        <v>0</v>
      </c>
      <c r="L23" s="4">
        <v>450</v>
      </c>
      <c r="M23" s="4">
        <f>L23*AD23</f>
        <v>52.987500000000004</v>
      </c>
      <c r="O23" s="4">
        <f>N23*AD23</f>
        <v>0</v>
      </c>
      <c r="Q23" s="4">
        <f>P23*AD23</f>
        <v>0</v>
      </c>
      <c r="AB23" s="33"/>
      <c r="AC23" s="4">
        <f>B23+D23+F23+H23+J23+L23+N23+P23</f>
        <v>927</v>
      </c>
      <c r="AD23" s="4">
        <v>0.11775000000000001</v>
      </c>
      <c r="AE23" s="24">
        <f>AC23*AD23</f>
        <v>109.15425</v>
      </c>
      <c r="AG23" s="4">
        <v>10</v>
      </c>
    </row>
    <row r="24" spans="1:33" ht="14.25">
      <c r="A24" s="27">
        <v>42846</v>
      </c>
      <c r="B24" s="4">
        <v>40</v>
      </c>
      <c r="C24" s="4">
        <f>B24*AD24</f>
        <v>4.71</v>
      </c>
      <c r="D24" s="4">
        <f>52+216</f>
        <v>268</v>
      </c>
      <c r="E24" s="4">
        <f>D24*AD24</f>
        <v>31.557000000000002</v>
      </c>
      <c r="F24" s="4">
        <v>180</v>
      </c>
      <c r="G24" s="4">
        <f>F24*AD24</f>
        <v>21.195</v>
      </c>
      <c r="I24" s="4">
        <f>H24*AD24</f>
        <v>0</v>
      </c>
      <c r="K24" s="4">
        <f>J24*AD24</f>
        <v>0</v>
      </c>
      <c r="M24" s="4">
        <f>L24*AD24</f>
        <v>0</v>
      </c>
      <c r="O24" s="4">
        <f>N24*AD24</f>
        <v>0</v>
      </c>
      <c r="Q24" s="4">
        <f>P24*AD24</f>
        <v>0</v>
      </c>
      <c r="T24" s="4" t="s">
        <v>119</v>
      </c>
      <c r="AB24" s="33" t="s">
        <v>198</v>
      </c>
      <c r="AC24" s="4">
        <f>B24+D24+F24+H24+J24+L24+N24+P24</f>
        <v>488</v>
      </c>
      <c r="AD24" s="4">
        <v>0.11775000000000001</v>
      </c>
      <c r="AE24" s="24">
        <f>AC24*AD24</f>
        <v>57.462</v>
      </c>
      <c r="AG24" s="4">
        <v>10</v>
      </c>
    </row>
    <row r="25" spans="1:33" ht="14.25">
      <c r="A25" s="27">
        <v>42847</v>
      </c>
      <c r="C25" s="4">
        <f>B25*AD25</f>
        <v>0</v>
      </c>
      <c r="D25" s="4">
        <f>433+31+50</f>
        <v>514</v>
      </c>
      <c r="E25" s="4">
        <f>D25*AD25</f>
        <v>60.523500000000006</v>
      </c>
      <c r="F25" s="4">
        <v>180</v>
      </c>
      <c r="G25" s="4">
        <f>F25*AD25</f>
        <v>21.195</v>
      </c>
      <c r="I25" s="4">
        <f>H25*AD25</f>
        <v>0</v>
      </c>
      <c r="K25" s="4">
        <f>J25*AD25</f>
        <v>0</v>
      </c>
      <c r="M25" s="4">
        <f>L25*AD25</f>
        <v>0</v>
      </c>
      <c r="O25" s="4">
        <f>N25*AD25</f>
        <v>0</v>
      </c>
      <c r="Q25" s="4">
        <f>P25*AD25</f>
        <v>0</v>
      </c>
      <c r="T25" s="4" t="s">
        <v>119</v>
      </c>
      <c r="AB25" s="33" t="s">
        <v>199</v>
      </c>
      <c r="AC25" s="4">
        <f>B25+D25+F25+H25+J25+L25+N25+P25</f>
        <v>694</v>
      </c>
      <c r="AD25" s="4">
        <v>0.11775000000000001</v>
      </c>
      <c r="AE25" s="24">
        <f>AC25*AD25</f>
        <v>81.7185</v>
      </c>
      <c r="AG25" s="4">
        <v>10</v>
      </c>
    </row>
    <row r="26" spans="1:33" ht="14.25">
      <c r="A26" s="27">
        <v>42848</v>
      </c>
      <c r="C26" s="4">
        <f>B26*AD26</f>
        <v>0</v>
      </c>
      <c r="D26" s="4">
        <v>204.75</v>
      </c>
      <c r="E26" s="4">
        <f>D26*AD26</f>
        <v>24.1093125</v>
      </c>
      <c r="F26" s="4">
        <v>180</v>
      </c>
      <c r="G26" s="4">
        <f>F26*AD26</f>
        <v>21.195</v>
      </c>
      <c r="I26" s="4">
        <f>H26*AD26</f>
        <v>0</v>
      </c>
      <c r="K26" s="4">
        <f>J26*AD26</f>
        <v>0</v>
      </c>
      <c r="M26" s="4">
        <f>L26*AD26</f>
        <v>0</v>
      </c>
      <c r="O26" s="4">
        <f>N26*AD26</f>
        <v>0</v>
      </c>
      <c r="Q26" s="4">
        <f>P26*AD26</f>
        <v>0</v>
      </c>
      <c r="T26" s="4" t="s">
        <v>119</v>
      </c>
      <c r="AB26" s="4" t="s">
        <v>199</v>
      </c>
      <c r="AC26" s="4">
        <f>B26+D26+F26+H26+J26+L26+N26+P26</f>
        <v>384.75</v>
      </c>
      <c r="AD26" s="4">
        <v>0.11775000000000001</v>
      </c>
      <c r="AE26" s="24">
        <f>AC26*AD26</f>
        <v>45.3043125</v>
      </c>
      <c r="AG26" s="4">
        <v>10</v>
      </c>
    </row>
    <row r="27" spans="1:33" ht="14.25">
      <c r="A27" s="27">
        <v>42849</v>
      </c>
      <c r="B27" s="4">
        <f>50*2+25*2+35*2+17*2</f>
        <v>254</v>
      </c>
      <c r="C27" s="4">
        <f>B27*AD27</f>
        <v>29.908500000000004</v>
      </c>
      <c r="D27" s="4">
        <v>148</v>
      </c>
      <c r="E27" s="4">
        <f>D27*AD27</f>
        <v>17.427</v>
      </c>
      <c r="F27" s="4">
        <f>70*2</f>
        <v>140</v>
      </c>
      <c r="G27" s="4">
        <f>F27*AD27</f>
        <v>16.485</v>
      </c>
      <c r="I27" s="4">
        <f>H27*AD27</f>
        <v>0</v>
      </c>
      <c r="K27" s="4">
        <f>J27*AD27</f>
        <v>0</v>
      </c>
      <c r="M27" s="4">
        <f>L27*AD27</f>
        <v>0</v>
      </c>
      <c r="O27" s="4">
        <f>N27*AD27</f>
        <v>0</v>
      </c>
      <c r="Q27" s="4">
        <f>P27*AD27</f>
        <v>0</v>
      </c>
      <c r="T27" s="4" t="s">
        <v>119</v>
      </c>
      <c r="AB27" s="4" t="s">
        <v>200</v>
      </c>
      <c r="AC27" s="4">
        <f>B27+D27+F27+H27+J27+L27+N27+P27</f>
        <v>542</v>
      </c>
      <c r="AD27" s="4">
        <v>0.11775000000000001</v>
      </c>
      <c r="AE27" s="24">
        <f>AC27*AD27</f>
        <v>63.8205</v>
      </c>
      <c r="AG27" s="4">
        <v>10</v>
      </c>
    </row>
    <row r="28" spans="1:33" ht="14.25">
      <c r="A28" s="27">
        <v>42850</v>
      </c>
      <c r="B28" s="4">
        <f>16+20</f>
        <v>36</v>
      </c>
      <c r="C28" s="4">
        <f>B28*AD28</f>
        <v>4.239</v>
      </c>
      <c r="D28" s="4">
        <f>127+25</f>
        <v>152</v>
      </c>
      <c r="E28" s="4">
        <f>D28*AD28</f>
        <v>17.898</v>
      </c>
      <c r="F28" s="4">
        <v>140</v>
      </c>
      <c r="G28" s="4">
        <f>F28*AD28</f>
        <v>16.485</v>
      </c>
      <c r="H28" s="4">
        <f>87*2</f>
        <v>174</v>
      </c>
      <c r="I28" s="4">
        <f>H28*AD28</f>
        <v>20.488500000000002</v>
      </c>
      <c r="K28" s="4">
        <f>J28*AD28</f>
        <v>0</v>
      </c>
      <c r="M28" s="4">
        <f>L28*AD28</f>
        <v>0</v>
      </c>
      <c r="O28" s="4">
        <f>N28*AD28</f>
        <v>0</v>
      </c>
      <c r="Q28" s="4">
        <f>P28*AD28</f>
        <v>0</v>
      </c>
      <c r="T28" s="4" t="s">
        <v>119</v>
      </c>
      <c r="AA28" s="4">
        <v>1</v>
      </c>
      <c r="AB28" s="4" t="s">
        <v>201</v>
      </c>
      <c r="AC28" s="4">
        <f>B28+D28+F28+H28+J28+L28+N28+P28</f>
        <v>502</v>
      </c>
      <c r="AD28" s="4">
        <v>0.11775000000000001</v>
      </c>
      <c r="AE28" s="24">
        <f>AC28*AD28</f>
        <v>59.1105</v>
      </c>
      <c r="AG28" s="4">
        <v>10</v>
      </c>
    </row>
    <row r="29" spans="1:33" ht="14.25">
      <c r="A29" s="27">
        <v>42851</v>
      </c>
      <c r="B29" s="4">
        <f>19*2+16*2</f>
        <v>70</v>
      </c>
      <c r="C29" s="4">
        <f>B29*AD29</f>
        <v>8.2425</v>
      </c>
      <c r="D29" s="4">
        <f>88+30+45</f>
        <v>163</v>
      </c>
      <c r="E29" s="4">
        <f>D29*AD29</f>
        <v>19.193250000000003</v>
      </c>
      <c r="F29" s="4">
        <v>160</v>
      </c>
      <c r="G29" s="4">
        <f>F29*AD29</f>
        <v>18.84</v>
      </c>
      <c r="H29" s="4">
        <f>29*2</f>
        <v>58</v>
      </c>
      <c r="I29" s="4">
        <f>H29*AD29</f>
        <v>6.8295</v>
      </c>
      <c r="J29" s="4">
        <v>101</v>
      </c>
      <c r="K29" s="4">
        <f>J29*AD29</f>
        <v>11.892750000000001</v>
      </c>
      <c r="M29" s="4">
        <f>L29*AD29</f>
        <v>0</v>
      </c>
      <c r="O29" s="4">
        <f>N29*AD29</f>
        <v>0</v>
      </c>
      <c r="Q29" s="4">
        <f>P29*AD29</f>
        <v>0</v>
      </c>
      <c r="T29" s="4" t="s">
        <v>119</v>
      </c>
      <c r="AB29" s="4" t="s">
        <v>201</v>
      </c>
      <c r="AC29" s="4">
        <f>B29+D29+F29+H29+J29+L29+N29+P29</f>
        <v>552</v>
      </c>
      <c r="AD29" s="4">
        <v>0.11775000000000001</v>
      </c>
      <c r="AE29" s="24">
        <f>AC29*AD29</f>
        <v>64.998</v>
      </c>
      <c r="AG29" s="4">
        <v>10</v>
      </c>
    </row>
    <row r="30" spans="1:33" ht="14.25">
      <c r="A30" s="27">
        <v>42852</v>
      </c>
      <c r="B30" s="4">
        <f>34+70+50+64</f>
        <v>218</v>
      </c>
      <c r="C30" s="4">
        <f>B30*AD30</f>
        <v>25.669500000000003</v>
      </c>
      <c r="D30" s="4">
        <f>41+207+10</f>
        <v>258</v>
      </c>
      <c r="E30" s="4">
        <f>D30*AD30</f>
        <v>30.3795</v>
      </c>
      <c r="F30" s="4">
        <f>20*2+260</f>
        <v>300</v>
      </c>
      <c r="G30" s="4">
        <f>F30*AD30</f>
        <v>35.325</v>
      </c>
      <c r="I30" s="4">
        <f>H30*AD30</f>
        <v>0</v>
      </c>
      <c r="K30" s="4">
        <f>J30*AD30</f>
        <v>0</v>
      </c>
      <c r="M30" s="4">
        <f>L30*AD30</f>
        <v>0</v>
      </c>
      <c r="O30" s="4">
        <f>N30*AD30</f>
        <v>0</v>
      </c>
      <c r="Q30" s="4">
        <f>P30*AD30</f>
        <v>0</v>
      </c>
      <c r="T30" s="4" t="s">
        <v>119</v>
      </c>
      <c r="AB30" s="4" t="s">
        <v>202</v>
      </c>
      <c r="AC30" s="4">
        <f>B30+D30+F30+H30+J30+L30+N30+P30</f>
        <v>776</v>
      </c>
      <c r="AD30" s="4">
        <v>0.11775000000000001</v>
      </c>
      <c r="AE30" s="24">
        <f>AC30*AD30</f>
        <v>91.37400000000001</v>
      </c>
      <c r="AG30" s="4">
        <v>10</v>
      </c>
    </row>
    <row r="31" spans="1:33" ht="14.25">
      <c r="A31" s="27">
        <v>42853</v>
      </c>
      <c r="C31" s="4">
        <f>B31*AD31</f>
        <v>0</v>
      </c>
      <c r="D31" s="4">
        <v>204</v>
      </c>
      <c r="E31" s="4">
        <f>D31*AD31</f>
        <v>24.021</v>
      </c>
      <c r="F31" s="4">
        <v>100</v>
      </c>
      <c r="G31" s="4">
        <f>F31*AD31</f>
        <v>11.775</v>
      </c>
      <c r="H31" s="4">
        <v>1020</v>
      </c>
      <c r="I31" s="4">
        <f>H31*AD31</f>
        <v>120.105</v>
      </c>
      <c r="K31" s="4">
        <f>J31*AD31</f>
        <v>0</v>
      </c>
      <c r="M31" s="4">
        <f>L31*AD31</f>
        <v>0</v>
      </c>
      <c r="O31" s="4">
        <f>N31*AD31</f>
        <v>0</v>
      </c>
      <c r="Q31" s="4">
        <f>P31*AD31</f>
        <v>0</v>
      </c>
      <c r="T31" s="4" t="s">
        <v>119</v>
      </c>
      <c r="AB31" s="4" t="s">
        <v>203</v>
      </c>
      <c r="AC31" s="4">
        <f>B31+D31+F31+H31+J31+L31+N31+P31</f>
        <v>1324</v>
      </c>
      <c r="AD31" s="4">
        <v>0.11775000000000001</v>
      </c>
      <c r="AE31" s="24">
        <f>AC31*AD31</f>
        <v>155.901</v>
      </c>
      <c r="AG31" s="4">
        <v>10</v>
      </c>
    </row>
    <row r="32" spans="1:33" ht="14.25">
      <c r="A32" s="27">
        <v>42854</v>
      </c>
      <c r="C32" s="4">
        <f>B32*AD32</f>
        <v>0</v>
      </c>
      <c r="D32" s="4">
        <f>14+129</f>
        <v>143</v>
      </c>
      <c r="E32" s="4">
        <f>D32*AD32</f>
        <v>16.838250000000002</v>
      </c>
      <c r="G32" s="4">
        <f>F32*AD32</f>
        <v>0</v>
      </c>
      <c r="H32" s="4">
        <v>60</v>
      </c>
      <c r="I32" s="4">
        <f>H32*AD32</f>
        <v>7.065</v>
      </c>
      <c r="K32" s="4">
        <f>J32*AD32</f>
        <v>0</v>
      </c>
      <c r="L32" s="4">
        <v>300</v>
      </c>
      <c r="M32" s="4">
        <f>L32*AD32</f>
        <v>35.325</v>
      </c>
      <c r="O32" s="4">
        <f>N32*AD32</f>
        <v>0</v>
      </c>
      <c r="Q32" s="4">
        <f>P32*AD32</f>
        <v>0</v>
      </c>
      <c r="T32" s="4" t="s">
        <v>119</v>
      </c>
      <c r="AB32" s="4" t="s">
        <v>203</v>
      </c>
      <c r="AC32" s="4">
        <f>B32+D32+F32+H32+J32+L32+N32+P32</f>
        <v>503</v>
      </c>
      <c r="AD32" s="4">
        <v>0.11775000000000001</v>
      </c>
      <c r="AE32" s="24">
        <f>AC32*AD32</f>
        <v>59.22825</v>
      </c>
      <c r="AG32" s="4">
        <v>10</v>
      </c>
    </row>
    <row r="33" spans="1:33" ht="14.25">
      <c r="A33" s="25">
        <v>42855</v>
      </c>
      <c r="B33" s="4">
        <f>29*2</f>
        <v>58</v>
      </c>
      <c r="C33" s="4">
        <f>B33*AD33</f>
        <v>6.8295</v>
      </c>
      <c r="D33" s="4">
        <f>200+25</f>
        <v>225</v>
      </c>
      <c r="E33" s="4">
        <f>D33*AD33</f>
        <v>26.493750000000002</v>
      </c>
      <c r="F33" s="4">
        <f>115</f>
        <v>115</v>
      </c>
      <c r="G33" s="4">
        <f>F33*AD33</f>
        <v>13.541250000000002</v>
      </c>
      <c r="I33" s="4">
        <f>H33*AD33</f>
        <v>0</v>
      </c>
      <c r="K33" s="4">
        <f>J33*AD33</f>
        <v>0</v>
      </c>
      <c r="L33" s="4">
        <v>360</v>
      </c>
      <c r="M33" s="4">
        <f>L33*AD33</f>
        <v>42.39</v>
      </c>
      <c r="O33" s="4">
        <f>N33*AD33</f>
        <v>0</v>
      </c>
      <c r="Q33" s="4">
        <f>P33*AD33</f>
        <v>0</v>
      </c>
      <c r="Y33" s="4" t="s">
        <v>119</v>
      </c>
      <c r="AB33" s="4" t="s">
        <v>204</v>
      </c>
      <c r="AC33" s="4">
        <f>B33+D33+F33+H33+J33+L33+N33+P33</f>
        <v>758</v>
      </c>
      <c r="AD33" s="4">
        <v>0.11775000000000001</v>
      </c>
      <c r="AE33" s="24">
        <f>AC33*AD33</f>
        <v>89.25450000000001</v>
      </c>
      <c r="AG33" s="4">
        <v>10</v>
      </c>
    </row>
    <row r="34" spans="3:31" ht="14.25"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f>(693.63/600000)</f>
        <v>0.00115605</v>
      </c>
      <c r="AE34" s="24">
        <f>AC34*AD34</f>
        <v>0</v>
      </c>
    </row>
    <row r="35" spans="3:31" ht="12.7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f>(693.63/600000)</f>
        <v>0.00115605</v>
      </c>
      <c r="AE35" s="24">
        <f>AC35*AD35</f>
        <v>0</v>
      </c>
    </row>
    <row r="36" spans="3:31" ht="12.7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f>(693.63/600000)</f>
        <v>0.00115605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</f>
        <v>0</v>
      </c>
      <c r="AD37" s="4">
        <f>(693.63/600000)</f>
        <v>0.00115605</v>
      </c>
      <c r="AE37" s="24">
        <f>AC37*AD37</f>
        <v>0</v>
      </c>
    </row>
    <row r="38" spans="3:31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</f>
        <v>0</v>
      </c>
      <c r="AD38" s="4">
        <f>(693.63/600000)</f>
        <v>0.00115605</v>
      </c>
      <c r="AE38" s="24">
        <f>AC38*AD38</f>
        <v>0</v>
      </c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0.005925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35"/>
  <sheetViews>
    <sheetView zoomScale="95" zoomScaleNormal="95" workbookViewId="0" topLeftCell="Q1">
      <selection activeCell="Y1" sqref="Y1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3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0.625" style="4" customWidth="1"/>
    <col min="48" max="48" width="14.625" style="4" customWidth="1"/>
    <col min="49" max="50" width="10.625" style="4" customWidth="1"/>
    <col min="51" max="51" width="13.875" style="4" customWidth="1"/>
    <col min="52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2" ht="14.25">
      <c r="A2" s="27">
        <v>42856</v>
      </c>
      <c r="C2" s="4">
        <f>B2*AD2</f>
        <v>0</v>
      </c>
      <c r="D2" s="4">
        <f>58+148+58</f>
        <v>264</v>
      </c>
      <c r="E2" s="4">
        <f>D2*AD2</f>
        <v>31.086000000000002</v>
      </c>
      <c r="F2" s="4">
        <f>190</f>
        <v>190</v>
      </c>
      <c r="G2" s="4">
        <f>F2*AD2</f>
        <v>22.372500000000002</v>
      </c>
      <c r="I2" s="4">
        <f>H2*AD2</f>
        <v>0</v>
      </c>
      <c r="K2" s="4">
        <f>J2*AD2</f>
        <v>0</v>
      </c>
      <c r="L2" s="4">
        <v>360</v>
      </c>
      <c r="M2" s="4">
        <f>L2*AD2</f>
        <v>42.39</v>
      </c>
      <c r="O2" s="4">
        <f>N2*AD2</f>
        <v>0</v>
      </c>
      <c r="Q2" s="4">
        <f>P2*AD2</f>
        <v>0</v>
      </c>
      <c r="Y2" s="4" t="s">
        <v>119</v>
      </c>
      <c r="AB2" s="4" t="s">
        <v>205</v>
      </c>
      <c r="AC2" s="4">
        <f>B2+D2+F2+H2+J2+L2+N2+P2</f>
        <v>814</v>
      </c>
      <c r="AD2" s="4">
        <v>0.11775000000000001</v>
      </c>
      <c r="AE2" s="24">
        <f>AC2*AD2</f>
        <v>95.8485</v>
      </c>
      <c r="AG2" s="4">
        <v>10</v>
      </c>
      <c r="AI2" s="4" t="s">
        <v>121</v>
      </c>
      <c r="AJ2" s="4">
        <f>SUM(AE2:AE994)</f>
        <v>2245.34628</v>
      </c>
      <c r="AL2" s="4" t="s">
        <v>122</v>
      </c>
      <c r="AM2" s="28">
        <f>AJ2/AJ5</f>
        <v>72.43052516129033</v>
      </c>
      <c r="AO2" s="4" t="s">
        <v>123</v>
      </c>
      <c r="AP2" s="4">
        <f>COUNTBLANK(L2:L40)-COUNTBLANK(A2:A40)</f>
        <v>17</v>
      </c>
      <c r="AQ2" s="29"/>
      <c r="AR2" s="29"/>
      <c r="AS2" s="29"/>
      <c r="AT2" s="29"/>
      <c r="AU2" s="29"/>
      <c r="AV2" s="29" t="s">
        <v>187</v>
      </c>
      <c r="AW2" s="29">
        <f>SUMIF(AG2:AG44,"=10",AE2:AE44)</f>
        <v>859.544425</v>
      </c>
      <c r="AY2" s="29" t="s">
        <v>206</v>
      </c>
      <c r="AZ2" s="29">
        <f>SUMIF(AG2:AG44,"=11",AE2:AE44)</f>
        <v>1385.801855</v>
      </c>
    </row>
    <row r="3" spans="1:52" ht="14.25">
      <c r="A3" s="27">
        <v>42857</v>
      </c>
      <c r="B3" s="4">
        <f>54*2</f>
        <v>108</v>
      </c>
      <c r="C3" s="4">
        <f>B3*AD3</f>
        <v>12.717</v>
      </c>
      <c r="D3" s="4">
        <f>10+6+57+164</f>
        <v>237</v>
      </c>
      <c r="E3" s="4">
        <f>D3*AD3</f>
        <v>27.906750000000002</v>
      </c>
      <c r="F3" s="4">
        <v>175</v>
      </c>
      <c r="G3" s="4">
        <f>F3*AD3</f>
        <v>20.606250000000003</v>
      </c>
      <c r="I3" s="4">
        <f>H3*AD3</f>
        <v>0</v>
      </c>
      <c r="K3" s="4">
        <f>J3*AD3</f>
        <v>0</v>
      </c>
      <c r="M3" s="4">
        <f>L3*AD3</f>
        <v>0</v>
      </c>
      <c r="O3" s="4">
        <f>N3*AD3</f>
        <v>0</v>
      </c>
      <c r="Q3" s="4">
        <f>P3*AD3</f>
        <v>0</v>
      </c>
      <c r="T3" s="4" t="s">
        <v>119</v>
      </c>
      <c r="AB3" s="4" t="s">
        <v>207</v>
      </c>
      <c r="AC3" s="4">
        <f>B3+D3+F3+H3+J3+L3+N3+P3</f>
        <v>520</v>
      </c>
      <c r="AD3" s="4">
        <v>0.11775000000000001</v>
      </c>
      <c r="AE3" s="24">
        <f>AC3*AD3</f>
        <v>61.230000000000004</v>
      </c>
      <c r="AG3" s="4">
        <v>10</v>
      </c>
      <c r="AI3" s="30"/>
      <c r="AL3" s="30"/>
      <c r="AM3" s="31"/>
      <c r="AO3" s="4" t="s">
        <v>126</v>
      </c>
      <c r="AP3" s="4">
        <f>COUNT(L2:L36)</f>
        <v>14</v>
      </c>
      <c r="AR3" s="29"/>
      <c r="AS3" s="29"/>
      <c r="AT3" s="29"/>
      <c r="AU3" s="29"/>
      <c r="AV3" s="29" t="s">
        <v>190</v>
      </c>
      <c r="AW3" s="29">
        <f>_xlfn.COUNTIFS(A2:A44,"&lt;&gt;''",AG2:AG44,"=10")</f>
        <v>12</v>
      </c>
      <c r="AY3" s="29" t="s">
        <v>208</v>
      </c>
      <c r="AZ3" s="29">
        <f>_xlfn.COUNTIFS(A2:A44,"&lt;&gt;''",AG2:AG44,"=11")</f>
        <v>19</v>
      </c>
    </row>
    <row r="4" spans="1:52" ht="14.25">
      <c r="A4" s="27">
        <v>42858</v>
      </c>
      <c r="C4" s="4">
        <f>B4*AD4</f>
        <v>0</v>
      </c>
      <c r="D4" s="4">
        <f>10+133.5</f>
        <v>143.5</v>
      </c>
      <c r="E4" s="4">
        <f>D4*AD4</f>
        <v>16.897125000000003</v>
      </c>
      <c r="F4" s="4">
        <v>100</v>
      </c>
      <c r="G4" s="4">
        <f>F4*AD4</f>
        <v>11.775</v>
      </c>
      <c r="I4" s="4">
        <f>H4*AD4</f>
        <v>0</v>
      </c>
      <c r="K4" s="4">
        <f>J4*AD4</f>
        <v>0</v>
      </c>
      <c r="M4" s="4">
        <f>L4*AD4</f>
        <v>0</v>
      </c>
      <c r="O4" s="4">
        <f>N4*AD4</f>
        <v>0</v>
      </c>
      <c r="Q4" s="4">
        <f>P4*AD4</f>
        <v>0</v>
      </c>
      <c r="T4" s="4" t="s">
        <v>119</v>
      </c>
      <c r="AB4" s="4" t="s">
        <v>209</v>
      </c>
      <c r="AC4" s="4">
        <f>B4+D4+F4+H4+J4+L4+N4+P4</f>
        <v>243.5</v>
      </c>
      <c r="AD4" s="4">
        <v>0.11775000000000001</v>
      </c>
      <c r="AE4" s="24">
        <f>AC4*AD4</f>
        <v>28.672125</v>
      </c>
      <c r="AG4" s="4">
        <v>10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 t="s">
        <v>193</v>
      </c>
      <c r="AW4" s="29">
        <f>AW2/AW3</f>
        <v>71.62870208333334</v>
      </c>
      <c r="AY4" s="29" t="s">
        <v>210</v>
      </c>
      <c r="AZ4" s="29">
        <f>AZ2/AZ3</f>
        <v>72.9369397368421</v>
      </c>
    </row>
    <row r="5" spans="1:42" ht="14.25">
      <c r="A5" s="27">
        <v>42859</v>
      </c>
      <c r="C5" s="4">
        <f>B5*AD5</f>
        <v>0</v>
      </c>
      <c r="D5" s="4">
        <f>282</f>
        <v>282</v>
      </c>
      <c r="E5" s="4">
        <f>D5*AD5</f>
        <v>33.2055</v>
      </c>
      <c r="F5" s="4">
        <v>100</v>
      </c>
      <c r="G5" s="4">
        <f>F5*AD5</f>
        <v>11.775</v>
      </c>
      <c r="H5" s="4">
        <f>87*2</f>
        <v>174</v>
      </c>
      <c r="I5" s="4">
        <f>H5*AD5</f>
        <v>20.488500000000002</v>
      </c>
      <c r="J5" s="4">
        <v>30</v>
      </c>
      <c r="K5" s="4">
        <f>J5*AD5</f>
        <v>3.5325</v>
      </c>
      <c r="M5" s="4">
        <f>L5*AD5</f>
        <v>0</v>
      </c>
      <c r="O5" s="4">
        <f>N5*AD5</f>
        <v>0</v>
      </c>
      <c r="Q5" s="4">
        <f>P5*AD5</f>
        <v>0</v>
      </c>
      <c r="T5" s="4" t="s">
        <v>119</v>
      </c>
      <c r="AB5" s="4" t="s">
        <v>209</v>
      </c>
      <c r="AC5" s="4">
        <f>B5+D5+F5+H5+J5+L5+N5+P5</f>
        <v>586</v>
      </c>
      <c r="AD5" s="4">
        <v>0.11775000000000001</v>
      </c>
      <c r="AE5" s="24">
        <f>AC5*AD5</f>
        <v>69.00150000000001</v>
      </c>
      <c r="AG5" s="4">
        <v>10</v>
      </c>
      <c r="AI5" s="4" t="s">
        <v>134</v>
      </c>
      <c r="AJ5" s="4">
        <f>COUNTA(A2:A349)</f>
        <v>31</v>
      </c>
      <c r="AO5" s="4" t="s">
        <v>135</v>
      </c>
      <c r="AP5" s="4">
        <f>COUNTA(R2:R49)</f>
        <v>0</v>
      </c>
    </row>
    <row r="6" spans="1:42" ht="14.25">
      <c r="A6" s="27">
        <v>42860</v>
      </c>
      <c r="C6" s="4">
        <f>B6*AD6</f>
        <v>0</v>
      </c>
      <c r="D6" s="4">
        <v>93</v>
      </c>
      <c r="E6" s="4">
        <f>D6*AD6</f>
        <v>10.950750000000001</v>
      </c>
      <c r="F6" s="4">
        <v>100</v>
      </c>
      <c r="G6" s="4">
        <f>F6*AD6</f>
        <v>11.775</v>
      </c>
      <c r="I6" s="4">
        <f>H6*AD6</f>
        <v>0</v>
      </c>
      <c r="K6" s="4">
        <f>J6*AD6</f>
        <v>0</v>
      </c>
      <c r="L6" s="4">
        <v>440</v>
      </c>
      <c r="M6" s="4">
        <f>L6*AD6</f>
        <v>51.81</v>
      </c>
      <c r="O6" s="4">
        <f>N6*AD6</f>
        <v>0</v>
      </c>
      <c r="Q6" s="4">
        <f>P6*AD6</f>
        <v>0</v>
      </c>
      <c r="T6" s="4" t="s">
        <v>119</v>
      </c>
      <c r="AB6" s="4" t="s">
        <v>209</v>
      </c>
      <c r="AC6" s="4">
        <f>B6+D6+F6+H6+J6+L6+N6+P6</f>
        <v>633</v>
      </c>
      <c r="AD6" s="4">
        <v>0.11775000000000001</v>
      </c>
      <c r="AE6" s="24">
        <f>AC6*AD6</f>
        <v>74.53575000000001</v>
      </c>
      <c r="AG6" s="4">
        <v>10</v>
      </c>
      <c r="AI6" s="30"/>
      <c r="AO6" s="4" t="s">
        <v>136</v>
      </c>
      <c r="AP6" s="4">
        <f>COUNTA(T2:T49)</f>
        <v>23</v>
      </c>
    </row>
    <row r="7" spans="1:42" ht="14.25">
      <c r="A7" s="27">
        <v>42861</v>
      </c>
      <c r="B7" s="4">
        <f>80*2</f>
        <v>160</v>
      </c>
      <c r="C7" s="4">
        <f>B7*AD7</f>
        <v>18.84</v>
      </c>
      <c r="D7" s="4">
        <f>136+10+51</f>
        <v>197</v>
      </c>
      <c r="E7" s="4">
        <f>D7*AD7</f>
        <v>23.19675</v>
      </c>
      <c r="F7" s="4">
        <v>220</v>
      </c>
      <c r="G7" s="4">
        <f>F7*AD7</f>
        <v>25.905</v>
      </c>
      <c r="I7" s="4">
        <f>H7*AD7</f>
        <v>0</v>
      </c>
      <c r="K7" s="4">
        <f>J7*AD7</f>
        <v>0</v>
      </c>
      <c r="L7" s="4">
        <v>300</v>
      </c>
      <c r="M7" s="4">
        <f>L7*AD7</f>
        <v>35.325</v>
      </c>
      <c r="O7" s="4">
        <f>N7*AD7</f>
        <v>0</v>
      </c>
      <c r="Q7" s="4">
        <f>P7*AD7</f>
        <v>0</v>
      </c>
      <c r="T7" s="4" t="s">
        <v>119</v>
      </c>
      <c r="AB7" s="4" t="s">
        <v>211</v>
      </c>
      <c r="AC7" s="4">
        <f>B7+D7+F7+H7+J7+L7+N7+P7</f>
        <v>877</v>
      </c>
      <c r="AD7" s="4">
        <v>0.11775000000000001</v>
      </c>
      <c r="AE7" s="24">
        <f>AC7*AD7</f>
        <v>103.26675</v>
      </c>
      <c r="AG7" s="4">
        <v>10</v>
      </c>
      <c r="AL7" s="4" t="s">
        <v>138</v>
      </c>
      <c r="AO7" s="4" t="s">
        <v>109</v>
      </c>
      <c r="AP7" s="4">
        <f>COUNTA(U2:U49)</f>
        <v>0</v>
      </c>
    </row>
    <row r="8" spans="1:42" ht="14.25">
      <c r="A8" s="27">
        <v>42862</v>
      </c>
      <c r="C8" s="4">
        <f>B8*AD8</f>
        <v>0</v>
      </c>
      <c r="D8" s="4">
        <f>190</f>
        <v>190</v>
      </c>
      <c r="E8" s="4">
        <f>D8*AD8</f>
        <v>22.372500000000002</v>
      </c>
      <c r="F8" s="4">
        <v>150</v>
      </c>
      <c r="G8" s="4">
        <f>F8*AD8</f>
        <v>17.6625</v>
      </c>
      <c r="I8" s="4">
        <f>H8*AD8</f>
        <v>0</v>
      </c>
      <c r="K8" s="4">
        <f>J8*AD8</f>
        <v>0</v>
      </c>
      <c r="L8" s="4">
        <v>300</v>
      </c>
      <c r="M8" s="4">
        <f>L8*AD8</f>
        <v>35.325</v>
      </c>
      <c r="O8" s="4">
        <f>N8*AD8</f>
        <v>0</v>
      </c>
      <c r="Q8" s="4">
        <f>P8*AD8</f>
        <v>0</v>
      </c>
      <c r="T8" s="4" t="s">
        <v>119</v>
      </c>
      <c r="AB8" s="4" t="s">
        <v>212</v>
      </c>
      <c r="AC8" s="4">
        <f>B8+D8+F8+H8+J8+L8+N8+P8</f>
        <v>640</v>
      </c>
      <c r="AD8" s="4">
        <v>0.11775000000000001</v>
      </c>
      <c r="AE8" s="24">
        <f>AC8*AD8</f>
        <v>75.36</v>
      </c>
      <c r="AG8" s="4">
        <v>10</v>
      </c>
      <c r="AI8" s="4" t="s">
        <v>140</v>
      </c>
      <c r="AJ8" s="26">
        <f>SUM(M2:M994)</f>
        <v>616.6215</v>
      </c>
      <c r="AL8" s="4" t="s">
        <v>103</v>
      </c>
      <c r="AM8" s="26">
        <f>AJ8/$AJ$5</f>
        <v>19.891016129032256</v>
      </c>
      <c r="AO8" s="4" t="s">
        <v>141</v>
      </c>
      <c r="AP8" s="4">
        <f>COUNTA(S2:S49)</f>
        <v>0</v>
      </c>
    </row>
    <row r="9" spans="1:42" ht="14.25">
      <c r="A9" s="27">
        <v>42863</v>
      </c>
      <c r="B9" s="1">
        <f>35*2</f>
        <v>70</v>
      </c>
      <c r="C9" s="4">
        <f>B9*AD9</f>
        <v>8.092</v>
      </c>
      <c r="D9" s="4">
        <v>101</v>
      </c>
      <c r="E9" s="4">
        <f>D9*AD9</f>
        <v>11.675600000000001</v>
      </c>
      <c r="F9" s="4">
        <v>162</v>
      </c>
      <c r="G9" s="4">
        <f>F9*AD9</f>
        <v>18.7272</v>
      </c>
      <c r="I9" s="4">
        <f>H9*AD9</f>
        <v>0</v>
      </c>
      <c r="K9" s="4">
        <f>J9*AD9</f>
        <v>0</v>
      </c>
      <c r="L9" s="4">
        <v>350</v>
      </c>
      <c r="M9" s="4">
        <f>L9*AD9</f>
        <v>40.46</v>
      </c>
      <c r="O9" s="4">
        <f>N9*AD9</f>
        <v>0</v>
      </c>
      <c r="Q9" s="4">
        <f>P9*AD9</f>
        <v>0</v>
      </c>
      <c r="T9" s="4" t="s">
        <v>119</v>
      </c>
      <c r="AB9" s="4" t="s">
        <v>213</v>
      </c>
      <c r="AC9" s="4">
        <f>B9+D9+F9+H9+J9+L9+N9+P9</f>
        <v>683</v>
      </c>
      <c r="AD9" s="4">
        <v>0.11560000000000001</v>
      </c>
      <c r="AE9" s="24">
        <f>AC9*AD9</f>
        <v>78.9548</v>
      </c>
      <c r="AG9" s="4">
        <v>10</v>
      </c>
      <c r="AI9" s="4" t="s">
        <v>143</v>
      </c>
      <c r="AJ9" s="26">
        <f>SUM(C2:C994)</f>
        <v>179.20654000000002</v>
      </c>
      <c r="AL9" s="4" t="s">
        <v>93</v>
      </c>
      <c r="AM9" s="4">
        <f>AJ9/$AJ$5</f>
        <v>5.780856129032259</v>
      </c>
      <c r="AO9" s="4" t="s">
        <v>110</v>
      </c>
      <c r="AP9" s="4">
        <f>COUNTA(V2:V50)</f>
        <v>7</v>
      </c>
    </row>
    <row r="10" spans="1:42" ht="14.25">
      <c r="A10" s="27">
        <v>42864</v>
      </c>
      <c r="B10" s="4">
        <f>60+20</f>
        <v>80</v>
      </c>
      <c r="C10" s="4">
        <f>B10*AD10</f>
        <v>9.248000000000001</v>
      </c>
      <c r="D10" s="4">
        <f>82+167.5</f>
        <v>249.5</v>
      </c>
      <c r="E10" s="4">
        <f>D10*AD10</f>
        <v>28.842200000000002</v>
      </c>
      <c r="F10" s="4">
        <v>100</v>
      </c>
      <c r="G10" s="4">
        <f>F10*AD10</f>
        <v>11.56</v>
      </c>
      <c r="I10" s="4">
        <f>H10*AD10</f>
        <v>0</v>
      </c>
      <c r="K10" s="4">
        <f>J10*AD10</f>
        <v>0</v>
      </c>
      <c r="L10" s="4">
        <v>350</v>
      </c>
      <c r="M10" s="4">
        <f>L10*AD10</f>
        <v>40.46</v>
      </c>
      <c r="O10" s="4">
        <f>N10*AD10</f>
        <v>0</v>
      </c>
      <c r="Q10" s="4">
        <f>P10*AD10</f>
        <v>0</v>
      </c>
      <c r="T10" s="4" t="s">
        <v>119</v>
      </c>
      <c r="AB10" s="4" t="s">
        <v>214</v>
      </c>
      <c r="AC10" s="4">
        <f>B10+D10+F10+H10+J10+L10+N10+P10</f>
        <v>779.5</v>
      </c>
      <c r="AD10" s="4">
        <v>0.11560000000000001</v>
      </c>
      <c r="AE10" s="24">
        <f>AC10*AD10</f>
        <v>90.1102</v>
      </c>
      <c r="AG10" s="4">
        <v>10</v>
      </c>
      <c r="AI10" s="4" t="s">
        <v>145</v>
      </c>
      <c r="AJ10" s="26">
        <f>SUM(E2:E994)</f>
        <v>664.1517</v>
      </c>
      <c r="AL10" s="4" t="s">
        <v>146</v>
      </c>
      <c r="AM10" s="4">
        <f>AJ10/$AJ$5</f>
        <v>21.424248387096775</v>
      </c>
      <c r="AO10" s="4" t="s">
        <v>184</v>
      </c>
      <c r="AP10" s="4">
        <f>COUNTA(Y2:Y51)</f>
        <v>1</v>
      </c>
    </row>
    <row r="11" spans="1:39" ht="14.25">
      <c r="A11" s="27">
        <v>42865</v>
      </c>
      <c r="B11" s="4">
        <f>10*4</f>
        <v>40</v>
      </c>
      <c r="C11" s="4">
        <f>B11*AD11</f>
        <v>4.6240000000000006</v>
      </c>
      <c r="D11" s="4">
        <f>35+110</f>
        <v>145</v>
      </c>
      <c r="E11" s="4">
        <f>D11*AD11</f>
        <v>16.762</v>
      </c>
      <c r="F11" s="4">
        <v>120</v>
      </c>
      <c r="G11" s="4">
        <f>F11*AD11</f>
        <v>13.872000000000002</v>
      </c>
      <c r="I11" s="4">
        <f>H11*AD11</f>
        <v>0</v>
      </c>
      <c r="J11" s="4">
        <v>30</v>
      </c>
      <c r="K11" s="4">
        <f>J11*AD11</f>
        <v>3.4680000000000004</v>
      </c>
      <c r="L11" s="4">
        <v>350</v>
      </c>
      <c r="M11" s="4">
        <f>L11*AD11</f>
        <v>40.46</v>
      </c>
      <c r="O11" s="4">
        <f>N11*AD11</f>
        <v>0</v>
      </c>
      <c r="Q11" s="4">
        <f>P11*AD11</f>
        <v>0</v>
      </c>
      <c r="T11" s="4" t="s">
        <v>119</v>
      </c>
      <c r="AB11" s="33" t="s">
        <v>214</v>
      </c>
      <c r="AC11" s="4">
        <f>B11+D11+F11+H11+J11+L11+N11+P11</f>
        <v>685</v>
      </c>
      <c r="AD11" s="4">
        <v>0.11560000000000001</v>
      </c>
      <c r="AE11" s="24">
        <f>AC11*AD11</f>
        <v>79.186</v>
      </c>
      <c r="AG11" s="4">
        <v>10</v>
      </c>
      <c r="AI11" s="4" t="s">
        <v>149</v>
      </c>
      <c r="AJ11" s="26">
        <f>SUM(G2:G994)</f>
        <v>639.0765400000003</v>
      </c>
      <c r="AL11" s="4" t="s">
        <v>150</v>
      </c>
      <c r="AM11" s="26">
        <f>AJ11/$AJ$5</f>
        <v>20.615372258064525</v>
      </c>
    </row>
    <row r="12" spans="1:39" ht="14.25">
      <c r="A12" s="27">
        <v>42866</v>
      </c>
      <c r="C12" s="4">
        <f>B12*AD12</f>
        <v>0</v>
      </c>
      <c r="D12" s="4">
        <f>211</f>
        <v>211</v>
      </c>
      <c r="E12" s="4">
        <f>D12*AD12</f>
        <v>24.3916</v>
      </c>
      <c r="F12" s="4">
        <v>100</v>
      </c>
      <c r="G12" s="4">
        <f>F12*AD12</f>
        <v>11.56</v>
      </c>
      <c r="I12" s="4">
        <f>H12*AD12</f>
        <v>0</v>
      </c>
      <c r="K12" s="4">
        <f>J12*AD12</f>
        <v>0</v>
      </c>
      <c r="L12" s="4">
        <v>350</v>
      </c>
      <c r="M12" s="4">
        <f>L12*AD12</f>
        <v>40.46</v>
      </c>
      <c r="O12" s="4">
        <f>N12*AD12</f>
        <v>0</v>
      </c>
      <c r="Q12" s="4">
        <f>P12*AD12</f>
        <v>0</v>
      </c>
      <c r="T12" s="4" t="s">
        <v>119</v>
      </c>
      <c r="AB12" s="33" t="s">
        <v>214</v>
      </c>
      <c r="AC12" s="4">
        <f>B12+D12+F12+H12+J12+L12+N12+P12</f>
        <v>661</v>
      </c>
      <c r="AD12" s="4">
        <v>0.11560000000000001</v>
      </c>
      <c r="AE12" s="24">
        <f>AC12*AD12</f>
        <v>76.4116</v>
      </c>
      <c r="AG12" s="4">
        <v>10</v>
      </c>
      <c r="AI12" s="4" t="s">
        <v>151</v>
      </c>
      <c r="AJ12" s="26">
        <f>SUM(K2:K994)</f>
        <v>29.91216</v>
      </c>
      <c r="AL12" s="4" t="s">
        <v>101</v>
      </c>
      <c r="AM12" s="26">
        <f>AJ12/$AJ$5</f>
        <v>0.9649083870967742</v>
      </c>
    </row>
    <row r="13" spans="1:39" ht="14.25">
      <c r="A13" s="27">
        <v>42867</v>
      </c>
      <c r="B13" s="1">
        <f>16*2+15*2</f>
        <v>62</v>
      </c>
      <c r="C13" s="4">
        <f>B13*AD13</f>
        <v>7.1672</v>
      </c>
      <c r="E13" s="4">
        <f>D13*AD13</f>
        <v>0</v>
      </c>
      <c r="G13" s="4">
        <f>F13*AD13</f>
        <v>0</v>
      </c>
      <c r="I13" s="4">
        <f>H13*AD13</f>
        <v>0</v>
      </c>
      <c r="K13" s="4">
        <f>J13*AD13</f>
        <v>0</v>
      </c>
      <c r="M13" s="4">
        <f>L13*AD13</f>
        <v>0</v>
      </c>
      <c r="O13" s="4">
        <f>N13*AD13</f>
        <v>0</v>
      </c>
      <c r="Q13" s="4">
        <f>P13*AD13</f>
        <v>0</v>
      </c>
      <c r="AB13" s="33" t="s">
        <v>215</v>
      </c>
      <c r="AC13" s="4">
        <f>B13+D13+F13+H13+J13+L13+N13+P13</f>
        <v>62</v>
      </c>
      <c r="AD13" s="4">
        <v>0.11560000000000001</v>
      </c>
      <c r="AE13" s="24">
        <f>AC13*AD13</f>
        <v>7.1672</v>
      </c>
      <c r="AG13" s="4">
        <v>10</v>
      </c>
      <c r="AI13" s="4" t="s">
        <v>153</v>
      </c>
      <c r="AJ13" s="4">
        <f>SUM(I2:I994)</f>
        <v>68.29184000000001</v>
      </c>
      <c r="AL13" s="4" t="s">
        <v>99</v>
      </c>
      <c r="AM13" s="26">
        <f>AJ13/$AJ$5</f>
        <v>2.2029625806451616</v>
      </c>
    </row>
    <row r="14" spans="1:36" ht="14.25">
      <c r="A14" s="27"/>
      <c r="C14" s="4">
        <f>B14*AD14</f>
        <v>0</v>
      </c>
      <c r="E14" s="4">
        <f>D14*AD14</f>
        <v>0</v>
      </c>
      <c r="G14" s="4">
        <f>F14*AD14</f>
        <v>0</v>
      </c>
      <c r="I14" s="4">
        <f>H14*AD14</f>
        <v>0</v>
      </c>
      <c r="K14" s="4">
        <f>J14*AD14</f>
        <v>0</v>
      </c>
      <c r="M14" s="4">
        <f>L14*AD14</f>
        <v>0</v>
      </c>
      <c r="O14" s="4">
        <f>N14*AD14</f>
        <v>0</v>
      </c>
      <c r="P14" s="4">
        <v>6</v>
      </c>
      <c r="Q14" s="4">
        <f>P14*AD14</f>
        <v>19.799999999999997</v>
      </c>
      <c r="AB14" s="33"/>
      <c r="AC14" s="4">
        <f>B14+D14+F14+H14+J14+L14+N14+P14</f>
        <v>6</v>
      </c>
      <c r="AD14" s="4">
        <v>3.3</v>
      </c>
      <c r="AE14" s="24">
        <f>AC14*AD14</f>
        <v>19.799999999999997</v>
      </c>
      <c r="AG14" s="4">
        <v>10</v>
      </c>
      <c r="AI14" s="4" t="s">
        <v>163</v>
      </c>
      <c r="AJ14" s="26">
        <f>SUM(R2:R994)</f>
        <v>0</v>
      </c>
    </row>
    <row r="15" spans="1:36" ht="14.25">
      <c r="A15" s="27"/>
      <c r="C15" s="4">
        <f>B15*AD15</f>
        <v>0</v>
      </c>
      <c r="D15" s="4">
        <f>74.5</f>
        <v>74.5</v>
      </c>
      <c r="E15" s="4">
        <f>D15*AD15</f>
        <v>10.536535</v>
      </c>
      <c r="F15" s="4">
        <v>500</v>
      </c>
      <c r="G15" s="4">
        <f>F15*AD15</f>
        <v>70.715</v>
      </c>
      <c r="I15" s="4">
        <f>H15*AD15</f>
        <v>0</v>
      </c>
      <c r="K15" s="4">
        <f>J15*AD15</f>
        <v>0</v>
      </c>
      <c r="M15" s="4">
        <f>L15*AD15</f>
        <v>0</v>
      </c>
      <c r="O15" s="4">
        <f>N15*AD15</f>
        <v>0</v>
      </c>
      <c r="P15" s="4">
        <v>200</v>
      </c>
      <c r="Q15" s="4">
        <f>P15*AD15</f>
        <v>28.286</v>
      </c>
      <c r="V15" s="4" t="s">
        <v>119</v>
      </c>
      <c r="AA15" s="4">
        <v>1</v>
      </c>
      <c r="AB15" s="33"/>
      <c r="AC15" s="4">
        <f>B15+D15+F15+H15+J15+L15+N15+P15</f>
        <v>774.5</v>
      </c>
      <c r="AD15" s="4">
        <v>0.14143</v>
      </c>
      <c r="AE15" s="24">
        <f>AC15*AD15</f>
        <v>109.537535</v>
      </c>
      <c r="AG15" s="4">
        <v>11</v>
      </c>
      <c r="AI15" s="4" t="s">
        <v>194</v>
      </c>
      <c r="AJ15" s="4">
        <f>SUM(Q2:Q60)</f>
        <v>48.086</v>
      </c>
    </row>
    <row r="16" spans="1:35" ht="14.25">
      <c r="A16" s="27">
        <v>42868</v>
      </c>
      <c r="C16" s="4">
        <f>B16*AD16</f>
        <v>0</v>
      </c>
      <c r="E16" s="4">
        <f>D16*AD16</f>
        <v>0</v>
      </c>
      <c r="F16" s="4">
        <f>110+200</f>
        <v>310</v>
      </c>
      <c r="G16" s="4">
        <f>F16*AD16</f>
        <v>43.8433</v>
      </c>
      <c r="H16" s="4">
        <v>200</v>
      </c>
      <c r="I16" s="4">
        <f>H16*AD16</f>
        <v>28.286</v>
      </c>
      <c r="K16" s="4">
        <f>J16*AD16</f>
        <v>0</v>
      </c>
      <c r="M16" s="4">
        <f>L16*AD16</f>
        <v>0</v>
      </c>
      <c r="O16" s="4">
        <f>N16*AD16</f>
        <v>0</v>
      </c>
      <c r="Q16" s="4">
        <f>P16*AD16</f>
        <v>0</v>
      </c>
      <c r="V16" s="4" t="s">
        <v>119</v>
      </c>
      <c r="AB16" s="33" t="s">
        <v>216</v>
      </c>
      <c r="AC16" s="4">
        <f>B16+D16+F16+H16+J16+L16+N16+P16</f>
        <v>510</v>
      </c>
      <c r="AD16" s="4">
        <v>0.14143</v>
      </c>
      <c r="AE16" s="24">
        <f>AC16*AD16</f>
        <v>72.1293</v>
      </c>
      <c r="AG16" s="4">
        <v>11</v>
      </c>
      <c r="AI16" s="30"/>
    </row>
    <row r="17" spans="1:33" ht="14.25">
      <c r="A17" s="27">
        <v>42869</v>
      </c>
      <c r="C17" s="4">
        <f>B17*AD17</f>
        <v>0</v>
      </c>
      <c r="E17" s="4">
        <f>D17*AD17</f>
        <v>0</v>
      </c>
      <c r="G17" s="4">
        <f>F17*AD17</f>
        <v>0</v>
      </c>
      <c r="I17" s="4">
        <f>H17*AD17</f>
        <v>0</v>
      </c>
      <c r="K17" s="4">
        <f>J17*AD17</f>
        <v>0</v>
      </c>
      <c r="M17" s="4">
        <f>L17*AD17</f>
        <v>0</v>
      </c>
      <c r="O17" s="4">
        <f>N17*AD17</f>
        <v>0</v>
      </c>
      <c r="Q17" s="4">
        <f>P17*AD17</f>
        <v>0</v>
      </c>
      <c r="V17" s="4" t="s">
        <v>119</v>
      </c>
      <c r="AB17" s="33" t="s">
        <v>216</v>
      </c>
      <c r="AC17" s="4">
        <f>B17+D17+F17+H17+J17+L17+N17+P17</f>
        <v>0</v>
      </c>
      <c r="AD17" s="4">
        <v>0.14143</v>
      </c>
      <c r="AE17" s="24">
        <f>AC17*AD17</f>
        <v>0</v>
      </c>
      <c r="AG17" s="4">
        <v>11</v>
      </c>
    </row>
    <row r="18" spans="1:33" ht="14.25">
      <c r="A18" s="27">
        <v>42870</v>
      </c>
      <c r="C18" s="4">
        <f>B18*AD18</f>
        <v>0</v>
      </c>
      <c r="D18" s="4">
        <v>80</v>
      </c>
      <c r="E18" s="4">
        <f>D18*AD18</f>
        <v>11.3144</v>
      </c>
      <c r="G18" s="4">
        <f>F18*AD18</f>
        <v>0</v>
      </c>
      <c r="I18" s="4">
        <f>H18*AD18</f>
        <v>0</v>
      </c>
      <c r="K18" s="4">
        <f>J18*AD18</f>
        <v>0</v>
      </c>
      <c r="M18" s="4">
        <f>L18*AD18</f>
        <v>0</v>
      </c>
      <c r="O18" s="4">
        <f>N18*AD18</f>
        <v>0</v>
      </c>
      <c r="Q18" s="4">
        <f>P18*AD18</f>
        <v>0</v>
      </c>
      <c r="V18" s="4" t="s">
        <v>119</v>
      </c>
      <c r="AB18" s="33" t="s">
        <v>216</v>
      </c>
      <c r="AC18" s="4">
        <f>B18+D18+F18+H18+J18+L18+N18+P18</f>
        <v>80</v>
      </c>
      <c r="AD18" s="4">
        <v>0.14143</v>
      </c>
      <c r="AE18" s="24">
        <f>AC18*AD18</f>
        <v>11.3144</v>
      </c>
      <c r="AG18" s="4">
        <v>11</v>
      </c>
    </row>
    <row r="19" spans="1:33" ht="14.25">
      <c r="A19" s="27">
        <v>42871</v>
      </c>
      <c r="C19" s="4">
        <f>B19*AD19</f>
        <v>0</v>
      </c>
      <c r="D19" s="4">
        <v>224</v>
      </c>
      <c r="E19" s="4">
        <f>D19*AD19</f>
        <v>31.680320000000002</v>
      </c>
      <c r="G19" s="4">
        <f>F19*AD19</f>
        <v>0</v>
      </c>
      <c r="I19" s="4">
        <f>H19*AD19</f>
        <v>0</v>
      </c>
      <c r="K19" s="4">
        <f>J19*AD19</f>
        <v>0</v>
      </c>
      <c r="M19" s="4">
        <f>L19*AD19</f>
        <v>0</v>
      </c>
      <c r="O19" s="4">
        <f>N19*AD19</f>
        <v>0</v>
      </c>
      <c r="Q19" s="4">
        <f>P19*AD19</f>
        <v>0</v>
      </c>
      <c r="V19" s="4" t="s">
        <v>119</v>
      </c>
      <c r="AB19" s="33" t="s">
        <v>216</v>
      </c>
      <c r="AC19" s="4">
        <f>B19+D19+F19+H19+J19+L19+N19+P19</f>
        <v>224</v>
      </c>
      <c r="AD19" s="4">
        <v>0.14143</v>
      </c>
      <c r="AE19" s="24">
        <f>AC19*AD19</f>
        <v>31.680320000000002</v>
      </c>
      <c r="AG19" s="4">
        <v>11</v>
      </c>
    </row>
    <row r="20" spans="1:33" ht="14.25">
      <c r="A20" s="27">
        <v>42872</v>
      </c>
      <c r="C20" s="4">
        <f>B20*AD20</f>
        <v>0</v>
      </c>
      <c r="D20" s="4">
        <f>228</f>
        <v>228</v>
      </c>
      <c r="E20" s="4">
        <f>D20*AD20</f>
        <v>32.24604</v>
      </c>
      <c r="F20" s="4">
        <f>218</f>
        <v>218</v>
      </c>
      <c r="G20" s="4">
        <f>F20*AD20</f>
        <v>30.83174</v>
      </c>
      <c r="I20" s="4">
        <f>H20*AD20</f>
        <v>0</v>
      </c>
      <c r="J20" s="4">
        <f>36+86</f>
        <v>122</v>
      </c>
      <c r="K20" s="4">
        <f>J20*AD20</f>
        <v>17.25446</v>
      </c>
      <c r="M20" s="4">
        <f>L20*AD20</f>
        <v>0</v>
      </c>
      <c r="O20" s="4">
        <f>N20*AD20</f>
        <v>0</v>
      </c>
      <c r="Q20" s="4">
        <f>P20*AD20</f>
        <v>0</v>
      </c>
      <c r="V20" s="4" t="s">
        <v>119</v>
      </c>
      <c r="AB20" s="33" t="s">
        <v>216</v>
      </c>
      <c r="AC20" s="4">
        <f>B20+D20+F20+H20+J20+L20+N20+P20</f>
        <v>568</v>
      </c>
      <c r="AD20" s="4">
        <v>0.14143</v>
      </c>
      <c r="AE20" s="24">
        <f>AC20*AD20</f>
        <v>80.33224</v>
      </c>
      <c r="AG20" s="4">
        <v>11</v>
      </c>
    </row>
    <row r="21" spans="1:33" ht="14.25">
      <c r="A21" s="2">
        <v>42873</v>
      </c>
      <c r="C21" s="4">
        <f>B21*AD21</f>
        <v>0</v>
      </c>
      <c r="D21" s="4">
        <f>89+50</f>
        <v>139</v>
      </c>
      <c r="E21" s="4">
        <f>D21*AD21</f>
        <v>19.65877</v>
      </c>
      <c r="G21" s="4">
        <f>F21*AD21</f>
        <v>0</v>
      </c>
      <c r="I21" s="4">
        <f>H21*AD21</f>
        <v>0</v>
      </c>
      <c r="K21" s="4">
        <f>J21*AD21</f>
        <v>0</v>
      </c>
      <c r="M21" s="4">
        <f>L21*AD21</f>
        <v>0</v>
      </c>
      <c r="O21" s="4">
        <f>N21*AD21</f>
        <v>0</v>
      </c>
      <c r="Q21" s="4">
        <f>P21*AD21</f>
        <v>0</v>
      </c>
      <c r="V21" s="4" t="s">
        <v>119</v>
      </c>
      <c r="AB21" s="33" t="s">
        <v>216</v>
      </c>
      <c r="AC21" s="4">
        <f>B21+D21+F21+H21+J21+L21+N21+P21</f>
        <v>139</v>
      </c>
      <c r="AD21" s="4">
        <v>0.14143</v>
      </c>
      <c r="AE21" s="24">
        <f>AC21*AD21</f>
        <v>19.65877</v>
      </c>
      <c r="AG21" s="4">
        <v>11</v>
      </c>
    </row>
    <row r="22" spans="1:33" ht="14.25">
      <c r="A22" s="27">
        <v>42874</v>
      </c>
      <c r="B22" s="4">
        <f>109*2</f>
        <v>218</v>
      </c>
      <c r="C22" s="4">
        <f>B22*AD22</f>
        <v>30.83174</v>
      </c>
      <c r="D22" s="4">
        <f>74</f>
        <v>74</v>
      </c>
      <c r="E22" s="4">
        <f>D22*AD22</f>
        <v>10.46582</v>
      </c>
      <c r="F22" s="4">
        <v>90</v>
      </c>
      <c r="G22" s="4">
        <f>F22*AD22</f>
        <v>12.7287</v>
      </c>
      <c r="I22" s="4">
        <f>H22*AD22</f>
        <v>0</v>
      </c>
      <c r="K22" s="4">
        <f>J22*AD22</f>
        <v>0</v>
      </c>
      <c r="L22" s="4">
        <v>350</v>
      </c>
      <c r="M22" s="4">
        <f>L22*AD22</f>
        <v>49.5005</v>
      </c>
      <c r="O22" s="4">
        <f>N22*AD22</f>
        <v>0</v>
      </c>
      <c r="Q22" s="4">
        <f>P22*AD22</f>
        <v>0</v>
      </c>
      <c r="T22" s="4" t="s">
        <v>119</v>
      </c>
      <c r="AB22" s="33" t="s">
        <v>217</v>
      </c>
      <c r="AC22" s="4">
        <f>B22+D22+F22+H22+J22+L22+N22+P22</f>
        <v>732</v>
      </c>
      <c r="AD22" s="4">
        <v>0.14143</v>
      </c>
      <c r="AE22" s="24">
        <f>AC22*AD22</f>
        <v>103.52676</v>
      </c>
      <c r="AG22" s="4">
        <v>11</v>
      </c>
    </row>
    <row r="23" spans="1:33" ht="14.25">
      <c r="A23" s="27">
        <v>42875</v>
      </c>
      <c r="C23" s="4">
        <f>B23*AD23</f>
        <v>0</v>
      </c>
      <c r="D23" s="4">
        <f>22</f>
        <v>22</v>
      </c>
      <c r="E23" s="4">
        <f>D23*AD23</f>
        <v>3.11146</v>
      </c>
      <c r="F23" s="4">
        <f>149+120</f>
        <v>269</v>
      </c>
      <c r="G23" s="4">
        <f>F23*AD23</f>
        <v>38.04467</v>
      </c>
      <c r="I23" s="4">
        <f>H23*AD23</f>
        <v>0</v>
      </c>
      <c r="K23" s="4">
        <f>J23*AD23</f>
        <v>0</v>
      </c>
      <c r="L23" s="4">
        <v>300</v>
      </c>
      <c r="M23" s="4">
        <f>L23*AD23</f>
        <v>42.429</v>
      </c>
      <c r="O23" s="4">
        <f>N23*AD23</f>
        <v>0</v>
      </c>
      <c r="Q23" s="4">
        <f>P23*AD23</f>
        <v>0</v>
      </c>
      <c r="T23" s="4" t="s">
        <v>119</v>
      </c>
      <c r="AA23" s="4">
        <v>1</v>
      </c>
      <c r="AB23" s="33" t="s">
        <v>218</v>
      </c>
      <c r="AC23" s="4">
        <f>B23+D23+F23+H23+J23+L23+N23+P23</f>
        <v>591</v>
      </c>
      <c r="AD23" s="4">
        <v>0.14143</v>
      </c>
      <c r="AE23" s="24">
        <f>AC23*AD23</f>
        <v>83.58513</v>
      </c>
      <c r="AG23" s="4">
        <v>11</v>
      </c>
    </row>
    <row r="24" spans="1:33" ht="14.25">
      <c r="A24" s="27">
        <v>42876</v>
      </c>
      <c r="C24" s="4">
        <f>B24*AD24</f>
        <v>0</v>
      </c>
      <c r="D24" s="4">
        <f>77+12</f>
        <v>89</v>
      </c>
      <c r="E24" s="4">
        <f>D24*AD24</f>
        <v>12.58727</v>
      </c>
      <c r="F24" s="4">
        <v>158</v>
      </c>
      <c r="G24" s="4">
        <f>F24*AD24</f>
        <v>22.34594</v>
      </c>
      <c r="I24" s="4">
        <f>H24*AD24</f>
        <v>0</v>
      </c>
      <c r="K24" s="4">
        <f>J24*AD24</f>
        <v>0</v>
      </c>
      <c r="M24" s="4">
        <f>L24*AD24</f>
        <v>0</v>
      </c>
      <c r="O24" s="4">
        <f>N24*AD24</f>
        <v>0</v>
      </c>
      <c r="Q24" s="4">
        <f>P24*AD24</f>
        <v>0</v>
      </c>
      <c r="T24" s="4" t="s">
        <v>119</v>
      </c>
      <c r="AB24" s="33" t="s">
        <v>219</v>
      </c>
      <c r="AC24" s="4">
        <f>B24+D24+F24+H24+J24+L24+N24+P24</f>
        <v>247</v>
      </c>
      <c r="AD24" s="4">
        <v>0.14143</v>
      </c>
      <c r="AE24" s="24">
        <f>AC24*AD24</f>
        <v>34.93321</v>
      </c>
      <c r="AG24" s="4">
        <v>11</v>
      </c>
    </row>
    <row r="25" spans="1:33" ht="14.25">
      <c r="A25" s="27">
        <v>42877</v>
      </c>
      <c r="C25" s="4">
        <f>B25*AD25</f>
        <v>0</v>
      </c>
      <c r="D25" s="4">
        <f>20+22+47+12</f>
        <v>101</v>
      </c>
      <c r="E25" s="4">
        <f>D25*AD25</f>
        <v>14.28443</v>
      </c>
      <c r="F25" s="4">
        <v>160</v>
      </c>
      <c r="G25" s="4">
        <f>F25*AD25</f>
        <v>22.6288</v>
      </c>
      <c r="H25" s="4">
        <v>138</v>
      </c>
      <c r="I25" s="4">
        <f>H25*AD25</f>
        <v>19.51734</v>
      </c>
      <c r="K25" s="4">
        <f>J25*AD25</f>
        <v>0</v>
      </c>
      <c r="M25" s="4">
        <f>L25*AD25</f>
        <v>0</v>
      </c>
      <c r="O25" s="4">
        <f>N25*AD25</f>
        <v>0</v>
      </c>
      <c r="Q25" s="4">
        <f>P25*AD25</f>
        <v>0</v>
      </c>
      <c r="T25" s="4" t="s">
        <v>119</v>
      </c>
      <c r="AB25" s="33" t="s">
        <v>219</v>
      </c>
      <c r="AC25" s="4">
        <f>B25+D25+F25+H25+J25+L25+N25+P25</f>
        <v>399</v>
      </c>
      <c r="AD25" s="4">
        <v>0.14143</v>
      </c>
      <c r="AE25" s="24">
        <f>AC25*AD25</f>
        <v>56.43057</v>
      </c>
      <c r="AG25" s="4">
        <v>11</v>
      </c>
    </row>
    <row r="26" spans="1:33" ht="14.25">
      <c r="A26" s="27">
        <v>42878</v>
      </c>
      <c r="B26" s="4">
        <v>100</v>
      </c>
      <c r="C26" s="4">
        <f>B26*AD26</f>
        <v>14.143</v>
      </c>
      <c r="D26" s="4">
        <f>44+24+6</f>
        <v>74</v>
      </c>
      <c r="E26" s="4">
        <f>D26*AD26</f>
        <v>10.46582</v>
      </c>
      <c r="F26" s="4">
        <v>160</v>
      </c>
      <c r="G26" s="4">
        <f>F26*AD26</f>
        <v>22.6288</v>
      </c>
      <c r="I26" s="4">
        <f>H26*AD26</f>
        <v>0</v>
      </c>
      <c r="K26" s="4">
        <f>J26*AD26</f>
        <v>0</v>
      </c>
      <c r="M26" s="4">
        <f>L26*AD26</f>
        <v>0</v>
      </c>
      <c r="O26" s="4">
        <f>N26*AD26</f>
        <v>0</v>
      </c>
      <c r="Q26" s="4">
        <f>P26*AD26</f>
        <v>0</v>
      </c>
      <c r="T26" s="4" t="s">
        <v>119</v>
      </c>
      <c r="AB26" s="4" t="s">
        <v>219</v>
      </c>
      <c r="AC26" s="4">
        <f>B26+D26+F26+H26+J26+L26+N26+P26</f>
        <v>334</v>
      </c>
      <c r="AD26" s="4">
        <v>0.14143</v>
      </c>
      <c r="AE26" s="24">
        <f>AC26*AD26</f>
        <v>47.23762</v>
      </c>
      <c r="AG26" s="4">
        <v>11</v>
      </c>
    </row>
    <row r="27" spans="1:33" ht="14.25">
      <c r="A27" s="27">
        <v>42879</v>
      </c>
      <c r="B27" s="4">
        <f>140*2</f>
        <v>280</v>
      </c>
      <c r="C27" s="4">
        <f>B27*AD27</f>
        <v>39.6004</v>
      </c>
      <c r="D27" s="4">
        <f>398</f>
        <v>398</v>
      </c>
      <c r="E27" s="4">
        <f>D27*AD27</f>
        <v>56.28914</v>
      </c>
      <c r="F27" s="4">
        <f>108</f>
        <v>108</v>
      </c>
      <c r="G27" s="4">
        <f>F27*AD27</f>
        <v>15.27444</v>
      </c>
      <c r="I27" s="4">
        <f>H27*AD27</f>
        <v>0</v>
      </c>
      <c r="J27" s="4">
        <v>40</v>
      </c>
      <c r="K27" s="4">
        <f>J27*AD27</f>
        <v>5.6572</v>
      </c>
      <c r="L27" s="4">
        <v>350</v>
      </c>
      <c r="M27" s="4">
        <f>L27*AD27</f>
        <v>49.5005</v>
      </c>
      <c r="O27" s="4">
        <f>N27*AD27</f>
        <v>0</v>
      </c>
      <c r="Q27" s="4">
        <f>P27*AD27</f>
        <v>0</v>
      </c>
      <c r="T27" s="4" t="s">
        <v>119</v>
      </c>
      <c r="AB27" s="4" t="s">
        <v>220</v>
      </c>
      <c r="AC27" s="4">
        <f>B27+D27+F27+H27+J27+L27+N27+P27</f>
        <v>1176</v>
      </c>
      <c r="AD27" s="4">
        <v>0.14143</v>
      </c>
      <c r="AE27" s="24">
        <f>AC27*AD27</f>
        <v>166.32168</v>
      </c>
      <c r="AG27" s="4">
        <v>11</v>
      </c>
    </row>
    <row r="28" spans="1:33" ht="14.25">
      <c r="A28" s="27">
        <v>42880</v>
      </c>
      <c r="C28" s="4">
        <f>B28*AD28</f>
        <v>0</v>
      </c>
      <c r="D28" s="4">
        <v>103</v>
      </c>
      <c r="E28" s="4">
        <f>D28*AD28</f>
        <v>14.56729</v>
      </c>
      <c r="F28" s="4">
        <v>138</v>
      </c>
      <c r="G28" s="4">
        <f>F28*AD28</f>
        <v>19.51734</v>
      </c>
      <c r="I28" s="4">
        <f>H28*AD28</f>
        <v>0</v>
      </c>
      <c r="K28" s="4">
        <f>J28*AD28</f>
        <v>0</v>
      </c>
      <c r="L28" s="4">
        <v>350</v>
      </c>
      <c r="M28" s="4">
        <f>L28*AD28</f>
        <v>49.5005</v>
      </c>
      <c r="O28" s="4">
        <f>N28*AD28</f>
        <v>0</v>
      </c>
      <c r="Q28" s="4">
        <f>P28*AD28</f>
        <v>0</v>
      </c>
      <c r="T28" s="4" t="s">
        <v>119</v>
      </c>
      <c r="AB28" s="4" t="s">
        <v>221</v>
      </c>
      <c r="AC28" s="4">
        <f>B28+D28+F28+H28+J28+L28+N28+P28</f>
        <v>591</v>
      </c>
      <c r="AD28" s="4">
        <v>0.14143</v>
      </c>
      <c r="AE28" s="24">
        <f>AC28*AD28</f>
        <v>83.58513</v>
      </c>
      <c r="AG28" s="4">
        <v>11</v>
      </c>
    </row>
    <row r="29" spans="1:33" ht="14.25">
      <c r="A29" s="27">
        <v>42881</v>
      </c>
      <c r="C29" s="4">
        <f>B29*AD29</f>
        <v>0</v>
      </c>
      <c r="D29" s="4">
        <v>104</v>
      </c>
      <c r="E29" s="4">
        <f>D29*AD29</f>
        <v>14.70872</v>
      </c>
      <c r="F29" s="4">
        <v>120</v>
      </c>
      <c r="G29" s="4">
        <f>F29*AD29</f>
        <v>16.9716</v>
      </c>
      <c r="I29" s="4">
        <f>H29*AD29</f>
        <v>0</v>
      </c>
      <c r="K29" s="4">
        <f>J29*AD29</f>
        <v>0</v>
      </c>
      <c r="L29" s="4">
        <v>350</v>
      </c>
      <c r="M29" s="4">
        <f>L29*AD29</f>
        <v>49.5005</v>
      </c>
      <c r="O29" s="4">
        <f>N29*AD29</f>
        <v>0</v>
      </c>
      <c r="Q29" s="4">
        <f>P29*AD29</f>
        <v>0</v>
      </c>
      <c r="T29" s="4" t="s">
        <v>119</v>
      </c>
      <c r="AB29" s="4" t="s">
        <v>221</v>
      </c>
      <c r="AC29" s="4">
        <f>B29+D29+F29+H29+J29+L29+N29+P29</f>
        <v>574</v>
      </c>
      <c r="AD29" s="4">
        <v>0.14143</v>
      </c>
      <c r="AE29" s="24">
        <f>AC29*AD29</f>
        <v>81.18082</v>
      </c>
      <c r="AG29" s="4">
        <v>11</v>
      </c>
    </row>
    <row r="30" spans="1:33" ht="14.25">
      <c r="A30" s="27">
        <v>42882</v>
      </c>
      <c r="C30" s="4">
        <f>B30*AD30</f>
        <v>0</v>
      </c>
      <c r="D30" s="4">
        <f>532+200</f>
        <v>732</v>
      </c>
      <c r="E30" s="4">
        <f>D30*AD30</f>
        <v>103.52676</v>
      </c>
      <c r="F30" s="4">
        <v>132</v>
      </c>
      <c r="G30" s="4">
        <f>F30*AD30</f>
        <v>18.66876</v>
      </c>
      <c r="I30" s="4">
        <f>H30*AD30</f>
        <v>0</v>
      </c>
      <c r="K30" s="4">
        <f>J30*AD30</f>
        <v>0</v>
      </c>
      <c r="L30" s="4">
        <v>350</v>
      </c>
      <c r="M30" s="4">
        <f>L30*AD30</f>
        <v>49.5005</v>
      </c>
      <c r="O30" s="4">
        <f>N30*AD30</f>
        <v>0</v>
      </c>
      <c r="Q30" s="4">
        <f>P30*AD30</f>
        <v>0</v>
      </c>
      <c r="T30" s="4" t="s">
        <v>119</v>
      </c>
      <c r="AB30" s="4" t="s">
        <v>221</v>
      </c>
      <c r="AC30" s="4">
        <f>B30+D30+F30+H30+J30+L30+N30+P30</f>
        <v>1214</v>
      </c>
      <c r="AD30" s="4">
        <v>0.14143</v>
      </c>
      <c r="AE30" s="24">
        <f>AC30*AD30</f>
        <v>171.69602</v>
      </c>
      <c r="AG30" s="4">
        <v>11</v>
      </c>
    </row>
    <row r="31" spans="1:33" ht="14.25">
      <c r="A31" s="27">
        <v>42883</v>
      </c>
      <c r="B31" s="4">
        <f>100+100</f>
        <v>200</v>
      </c>
      <c r="C31" s="4">
        <f>B31*AD31</f>
        <v>28.286</v>
      </c>
      <c r="D31" s="4">
        <f>102</f>
        <v>102</v>
      </c>
      <c r="E31" s="4">
        <f>D31*AD31</f>
        <v>14.42586</v>
      </c>
      <c r="F31" s="4">
        <v>170</v>
      </c>
      <c r="G31" s="4">
        <f>F31*AD31</f>
        <v>24.0431</v>
      </c>
      <c r="I31" s="4">
        <f>H31*AD31</f>
        <v>0</v>
      </c>
      <c r="K31" s="4">
        <f>J31*AD31</f>
        <v>0</v>
      </c>
      <c r="M31" s="4">
        <f>L31*AD31</f>
        <v>0</v>
      </c>
      <c r="O31" s="4">
        <f>N31*AD31</f>
        <v>0</v>
      </c>
      <c r="Q31" s="4">
        <f>P31*AD31</f>
        <v>0</v>
      </c>
      <c r="T31" s="4" t="s">
        <v>119</v>
      </c>
      <c r="AB31" s="4" t="s">
        <v>222</v>
      </c>
      <c r="AC31" s="4">
        <f>B31+D31+F31+H31+J31+L31+N31+P31</f>
        <v>472</v>
      </c>
      <c r="AD31" s="4">
        <v>0.14143</v>
      </c>
      <c r="AE31" s="24">
        <f>AC31*AD31</f>
        <v>66.75496</v>
      </c>
      <c r="AG31" s="4">
        <v>11</v>
      </c>
    </row>
    <row r="32" spans="1:33" ht="12.75">
      <c r="A32" s="27">
        <v>42884</v>
      </c>
      <c r="C32" s="4">
        <f>B32*AD32</f>
        <v>0</v>
      </c>
      <c r="D32" s="4">
        <f>67+60+50</f>
        <v>177</v>
      </c>
      <c r="E32" s="4">
        <f>D32*AD32</f>
        <v>25.03311</v>
      </c>
      <c r="F32" s="4">
        <v>240</v>
      </c>
      <c r="G32" s="4">
        <f>F32*AD32</f>
        <v>33.9432</v>
      </c>
      <c r="I32" s="4">
        <f>H32*AD32</f>
        <v>0</v>
      </c>
      <c r="K32" s="4">
        <f>J32*AD32</f>
        <v>0</v>
      </c>
      <c r="M32" s="4">
        <f>L32*AD32</f>
        <v>0</v>
      </c>
      <c r="O32" s="4">
        <f>N32*AD32</f>
        <v>0</v>
      </c>
      <c r="Q32" s="4">
        <f>P32*AD32</f>
        <v>0</v>
      </c>
      <c r="T32" s="4" t="s">
        <v>119</v>
      </c>
      <c r="AB32" s="4" t="s">
        <v>223</v>
      </c>
      <c r="AC32" s="4">
        <f>B32+D32+F32+H32+J32+L32+N32+P32</f>
        <v>417</v>
      </c>
      <c r="AD32" s="4">
        <v>0.14143</v>
      </c>
      <c r="AE32" s="24">
        <f>AC32*AD32</f>
        <v>58.97631</v>
      </c>
      <c r="AG32" s="4">
        <v>11</v>
      </c>
    </row>
    <row r="33" spans="1:33" ht="12.75">
      <c r="A33" s="25">
        <v>42885</v>
      </c>
      <c r="C33" s="4">
        <f>B33*AD33</f>
        <v>0</v>
      </c>
      <c r="D33" s="4">
        <v>102</v>
      </c>
      <c r="E33" s="4">
        <f>D33*AD33</f>
        <v>14.42586</v>
      </c>
      <c r="F33" s="4">
        <f>260+90</f>
        <v>350</v>
      </c>
      <c r="G33" s="4">
        <f>F33*AD33</f>
        <v>49.5005</v>
      </c>
      <c r="I33" s="4">
        <f>H33*AD33</f>
        <v>0</v>
      </c>
      <c r="K33" s="4">
        <f>J33*AD33</f>
        <v>0</v>
      </c>
      <c r="M33" s="4">
        <f>L33*AD33</f>
        <v>0</v>
      </c>
      <c r="O33" s="4">
        <f>N33*AD33</f>
        <v>0</v>
      </c>
      <c r="Q33" s="4">
        <f>P33*AD33</f>
        <v>0</v>
      </c>
      <c r="T33" s="4" t="s">
        <v>119</v>
      </c>
      <c r="AB33" s="4" t="s">
        <v>223</v>
      </c>
      <c r="AC33" s="4">
        <f>B33+D33+F33+H33+J33+L33+N33+P33</f>
        <v>452</v>
      </c>
      <c r="AD33" s="4">
        <v>0.14143</v>
      </c>
      <c r="AE33" s="24">
        <f>AC33*AD33</f>
        <v>63.92636</v>
      </c>
      <c r="AG33" s="4">
        <v>11</v>
      </c>
    </row>
    <row r="34" spans="1:33" ht="12.75">
      <c r="A34" s="25">
        <v>42886</v>
      </c>
      <c r="B34" s="4">
        <v>40</v>
      </c>
      <c r="C34" s="4">
        <f>B34*AD34</f>
        <v>5.6572</v>
      </c>
      <c r="D34" s="4">
        <f>101+23</f>
        <v>124</v>
      </c>
      <c r="E34" s="4">
        <f>D34*AD34</f>
        <v>17.53732</v>
      </c>
      <c r="F34" s="4">
        <v>140</v>
      </c>
      <c r="G34" s="4">
        <f>F34*AD34</f>
        <v>19.8002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T34" s="4" t="s">
        <v>119</v>
      </c>
      <c r="AB34" s="4" t="s">
        <v>223</v>
      </c>
      <c r="AC34" s="4">
        <f>B34+D34+F34+H34+J34+L34+N34+P34</f>
        <v>304</v>
      </c>
      <c r="AD34" s="4">
        <v>0.14143</v>
      </c>
      <c r="AE34" s="24">
        <f>AC34*AD34</f>
        <v>42.99472</v>
      </c>
      <c r="AG34" s="4">
        <v>11</v>
      </c>
    </row>
    <row r="35" spans="3:31" ht="12.7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f>(693.63/600000)</f>
        <v>0.00115605</v>
      </c>
      <c r="AE35" s="24">
        <f>AC35*AD35</f>
        <v>0</v>
      </c>
    </row>
    <row r="36" spans="3:31" ht="12.7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f>(693.63/600000)</f>
        <v>0.00115605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f>(693.63/600000)</f>
        <v>0.00115605</v>
      </c>
      <c r="AE37" s="24">
        <f>AC37*AD37</f>
        <v>0</v>
      </c>
    </row>
    <row r="38" spans="3:31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v>0.11560000000000001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N19">
      <selection activeCell="AB49" sqref="AB49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0.625" style="4" customWidth="1"/>
    <col min="48" max="48" width="14.625" style="4" customWidth="1"/>
    <col min="49" max="50" width="10.62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42887</v>
      </c>
      <c r="C2" s="4">
        <f>B2*AD2</f>
        <v>0</v>
      </c>
      <c r="D2" s="4">
        <f>23+43</f>
        <v>66</v>
      </c>
      <c r="E2" s="4">
        <f>D2*AD2</f>
        <v>9.33438</v>
      </c>
      <c r="F2" s="4">
        <v>140</v>
      </c>
      <c r="G2" s="4">
        <f>F2*AD2</f>
        <v>19.8002</v>
      </c>
      <c r="I2" s="4">
        <f>H2*AD2</f>
        <v>0</v>
      </c>
      <c r="K2" s="4">
        <f>J2*AD2</f>
        <v>0</v>
      </c>
      <c r="M2" s="4">
        <f>L2*AD2</f>
        <v>0</v>
      </c>
      <c r="O2" s="4">
        <f>N2*AD2</f>
        <v>0</v>
      </c>
      <c r="Q2" s="4">
        <f>P2*AD2</f>
        <v>0</v>
      </c>
      <c r="T2" s="4" t="s">
        <v>119</v>
      </c>
      <c r="AB2" s="4" t="s">
        <v>223</v>
      </c>
      <c r="AC2" s="4">
        <f>B2+D2+F2+H2+J2+L2+N2+P2</f>
        <v>206</v>
      </c>
      <c r="AD2" s="4">
        <v>0.14143</v>
      </c>
      <c r="AE2" s="24">
        <f>AC2*AD2</f>
        <v>29.13458</v>
      </c>
      <c r="AG2" s="4">
        <v>11</v>
      </c>
      <c r="AI2" s="4" t="s">
        <v>121</v>
      </c>
      <c r="AJ2" s="4">
        <f>SUM(AE2:AE994)</f>
        <v>3243.5553300000006</v>
      </c>
      <c r="AL2" s="4" t="s">
        <v>122</v>
      </c>
      <c r="AM2" s="28">
        <f>$AJ$2/$AJ$5</f>
        <v>108.11851100000003</v>
      </c>
      <c r="AO2" s="4" t="s">
        <v>123</v>
      </c>
      <c r="AP2" s="4">
        <f>COUNTBLANK(L2:L40)-COUNTBLANK(A2:A40)</f>
        <v>8</v>
      </c>
      <c r="AQ2" s="29"/>
      <c r="AR2" s="29"/>
      <c r="AS2" s="29"/>
      <c r="AT2" s="29"/>
      <c r="AU2" s="29"/>
      <c r="AV2" s="29" t="s">
        <v>224</v>
      </c>
      <c r="AW2" s="29">
        <f>SUMIF(AG2:AG44,"=12",AE2:AE44)</f>
        <v>343.1671</v>
      </c>
      <c r="AY2" s="29" t="s">
        <v>206</v>
      </c>
      <c r="AZ2" s="29">
        <f>SUMIF($AG$2:$AG$44,"=11",$AE$2:$AE$44)</f>
        <v>2120.4599900000003</v>
      </c>
      <c r="BB2" s="29" t="s">
        <v>225</v>
      </c>
      <c r="BC2" s="29">
        <f>SUMIF($AG$2:$AG$44,"=13",$AE$2:$AE$44)</f>
        <v>779.92824</v>
      </c>
    </row>
    <row r="3" spans="1:55" ht="14.25">
      <c r="A3" s="27">
        <v>42888</v>
      </c>
      <c r="B3" s="4">
        <v>36</v>
      </c>
      <c r="C3" s="4">
        <f>B3*AD3</f>
        <v>5.09148</v>
      </c>
      <c r="D3" s="4">
        <f>102+45+83</f>
        <v>230</v>
      </c>
      <c r="E3" s="4">
        <f>D3*AD3</f>
        <v>32.5289</v>
      </c>
      <c r="G3" s="4">
        <f>F3*AD3</f>
        <v>0</v>
      </c>
      <c r="I3" s="4">
        <f>H3*AD3</f>
        <v>0</v>
      </c>
      <c r="K3" s="4">
        <f>J3*AD3</f>
        <v>0</v>
      </c>
      <c r="L3" s="4">
        <v>422</v>
      </c>
      <c r="M3" s="4">
        <f>L3*AD3</f>
        <v>59.68346</v>
      </c>
      <c r="O3" s="4">
        <f>N3*AD3</f>
        <v>0</v>
      </c>
      <c r="Q3" s="4">
        <f>P3*AD3</f>
        <v>0</v>
      </c>
      <c r="T3" s="4" t="s">
        <v>119</v>
      </c>
      <c r="AB3" s="4" t="s">
        <v>223</v>
      </c>
      <c r="AC3" s="4">
        <f>B3+D3+F3+H3+J3+L3+N3+P3</f>
        <v>688</v>
      </c>
      <c r="AD3" s="4">
        <v>0.14143</v>
      </c>
      <c r="AE3" s="24">
        <f>AC3*AD3</f>
        <v>97.30384</v>
      </c>
      <c r="AG3" s="4">
        <v>11</v>
      </c>
      <c r="AI3" s="30"/>
      <c r="AL3" s="30" t="s">
        <v>226</v>
      </c>
      <c r="AM3" s="28">
        <f>($AJ$2-K9)/$AJ$5</f>
        <v>81.11480966666667</v>
      </c>
      <c r="AO3" s="4" t="s">
        <v>126</v>
      </c>
      <c r="AP3" s="4">
        <f>COUNT(L2:L36)</f>
        <v>22</v>
      </c>
      <c r="AR3" s="29"/>
      <c r="AS3" s="29"/>
      <c r="AT3" s="29"/>
      <c r="AU3" s="29"/>
      <c r="AV3" s="29" t="s">
        <v>227</v>
      </c>
      <c r="AW3" s="29">
        <f>_xlfn.COUNTIFS(A2:A44,"&lt;&gt;''",AG2:AG44,"=12")</f>
        <v>3</v>
      </c>
      <c r="AY3" s="29" t="s">
        <v>208</v>
      </c>
      <c r="AZ3" s="29">
        <f>_xlfn.COUNTIFS($A$2:$A$44,"&lt;&gt;''",$AG$2:$AG$44,"=11")</f>
        <v>17</v>
      </c>
      <c r="BB3" s="29" t="s">
        <v>228</v>
      </c>
      <c r="BC3" s="29">
        <f>_xlfn.COUNTIFS($A$2:$A$44,"&lt;&gt;''",$AG$2:$AG$44,"=13")</f>
        <v>10</v>
      </c>
    </row>
    <row r="4" spans="1:55" ht="14.25">
      <c r="A4" s="27">
        <v>42889</v>
      </c>
      <c r="B4" s="4">
        <v>50</v>
      </c>
      <c r="C4" s="4">
        <f>B4*AD4</f>
        <v>7.0715</v>
      </c>
      <c r="D4" s="4">
        <f>30+154+42</f>
        <v>226</v>
      </c>
      <c r="E4" s="4">
        <f>D4*AD4</f>
        <v>31.96318</v>
      </c>
      <c r="F4" s="4">
        <v>110</v>
      </c>
      <c r="G4" s="4">
        <f>F4*AD4</f>
        <v>15.5573</v>
      </c>
      <c r="I4" s="4">
        <f>H4*AD4</f>
        <v>0</v>
      </c>
      <c r="K4" s="4">
        <f>J4*AD4</f>
        <v>0</v>
      </c>
      <c r="L4" s="4">
        <v>200</v>
      </c>
      <c r="M4" s="4">
        <f>L4*AD4</f>
        <v>28.286</v>
      </c>
      <c r="O4" s="4">
        <f>N4*AD4</f>
        <v>0</v>
      </c>
      <c r="Q4" s="4">
        <f>P4*AD4</f>
        <v>0</v>
      </c>
      <c r="T4" s="4" t="s">
        <v>119</v>
      </c>
      <c r="AB4" s="4" t="s">
        <v>229</v>
      </c>
      <c r="AC4" s="4">
        <f>B4+D4+F4+H4+J4+L4+N4+P4</f>
        <v>586</v>
      </c>
      <c r="AD4" s="4">
        <v>0.14143</v>
      </c>
      <c r="AE4" s="24">
        <f>AC4*AD4</f>
        <v>82.87798</v>
      </c>
      <c r="AG4" s="4">
        <v>11</v>
      </c>
      <c r="AO4" s="4" t="s">
        <v>130</v>
      </c>
      <c r="AP4" s="4">
        <f>COUNTA(W2:W49)</f>
        <v>0</v>
      </c>
      <c r="AR4" s="29"/>
      <c r="AS4" s="29"/>
      <c r="AT4" s="29"/>
      <c r="AU4" s="29"/>
      <c r="AV4" s="29" t="s">
        <v>230</v>
      </c>
      <c r="AW4" s="29">
        <f>AW2/AW3</f>
        <v>114.38903333333333</v>
      </c>
      <c r="AY4" s="29" t="s">
        <v>210</v>
      </c>
      <c r="AZ4" s="29">
        <f>AZ2/AZ3</f>
        <v>124.73294058823531</v>
      </c>
      <c r="BB4" s="29" t="s">
        <v>231</v>
      </c>
      <c r="BC4" s="29">
        <f>BC2/BC3</f>
        <v>77.992824</v>
      </c>
    </row>
    <row r="5" spans="1:42" ht="14.25">
      <c r="A5" s="27">
        <v>42890</v>
      </c>
      <c r="C5" s="4">
        <f>B5*AD5</f>
        <v>0</v>
      </c>
      <c r="D5" s="4">
        <v>313</v>
      </c>
      <c r="E5" s="4">
        <f>D5*AD5</f>
        <v>44.26759</v>
      </c>
      <c r="G5" s="4">
        <f>F5*AD5</f>
        <v>0</v>
      </c>
      <c r="I5" s="4">
        <f>H5*AD5</f>
        <v>0</v>
      </c>
      <c r="K5" s="4">
        <f>J5*AD5</f>
        <v>0</v>
      </c>
      <c r="L5" s="4">
        <v>200</v>
      </c>
      <c r="M5" s="4">
        <f>L5*AD5</f>
        <v>28.286</v>
      </c>
      <c r="O5" s="4">
        <f>N5*AD5</f>
        <v>0</v>
      </c>
      <c r="Q5" s="4">
        <f>P5*AD5</f>
        <v>0</v>
      </c>
      <c r="T5" s="4" t="s">
        <v>119</v>
      </c>
      <c r="AB5" s="4" t="s">
        <v>232</v>
      </c>
      <c r="AC5" s="4">
        <f>B5+D5+F5+H5+J5+L5+N5+P5</f>
        <v>513</v>
      </c>
      <c r="AD5" s="4">
        <v>0.14143</v>
      </c>
      <c r="AE5" s="24">
        <f>AC5*AD5</f>
        <v>72.55359</v>
      </c>
      <c r="AG5" s="4">
        <v>11</v>
      </c>
      <c r="AI5" s="4" t="s">
        <v>134</v>
      </c>
      <c r="AJ5" s="4">
        <f>COUNTA(A2:A349)</f>
        <v>30</v>
      </c>
      <c r="AO5" s="4" t="s">
        <v>135</v>
      </c>
      <c r="AP5" s="4">
        <f>COUNTA(R2:R49)</f>
        <v>0</v>
      </c>
    </row>
    <row r="6" spans="1:42" ht="14.25">
      <c r="A6" s="27">
        <v>42891</v>
      </c>
      <c r="C6" s="4">
        <f>B6*AD6</f>
        <v>0</v>
      </c>
      <c r="D6" s="4">
        <v>203</v>
      </c>
      <c r="E6" s="4">
        <f>D6*AD6</f>
        <v>28.71029</v>
      </c>
      <c r="G6" s="4">
        <f>F6*AD6</f>
        <v>0</v>
      </c>
      <c r="I6" s="4">
        <f>H6*AD6</f>
        <v>0</v>
      </c>
      <c r="K6" s="4">
        <f>J6*AD6</f>
        <v>0</v>
      </c>
      <c r="L6" s="4">
        <v>200</v>
      </c>
      <c r="M6" s="4">
        <f>L6*AD6</f>
        <v>28.286</v>
      </c>
      <c r="O6" s="4">
        <f>N6*AD6</f>
        <v>0</v>
      </c>
      <c r="Q6" s="4">
        <f>P6*AD6</f>
        <v>0</v>
      </c>
      <c r="T6" s="4" t="s">
        <v>119</v>
      </c>
      <c r="AB6" s="4" t="s">
        <v>232</v>
      </c>
      <c r="AC6" s="4">
        <f>B6+D6+F6+H6+J6+L6+N6+P6</f>
        <v>403</v>
      </c>
      <c r="AD6" s="4">
        <v>0.14143</v>
      </c>
      <c r="AE6" s="24">
        <f>AC6*AD6</f>
        <v>56.99629</v>
      </c>
      <c r="AG6" s="4">
        <v>11</v>
      </c>
      <c r="AI6" s="30"/>
      <c r="AO6" s="4" t="s">
        <v>136</v>
      </c>
      <c r="AP6" s="4">
        <f>COUNTA(T2:T49)</f>
        <v>30</v>
      </c>
    </row>
    <row r="7" spans="1:42" ht="14.25">
      <c r="A7" s="27">
        <v>42892</v>
      </c>
      <c r="C7" s="4">
        <f>B7*AD7</f>
        <v>0</v>
      </c>
      <c r="D7" s="4">
        <f>154+45</f>
        <v>199</v>
      </c>
      <c r="E7" s="4">
        <f>D7*AD7</f>
        <v>28.14457</v>
      </c>
      <c r="G7" s="4">
        <f>F7*AD7</f>
        <v>0</v>
      </c>
      <c r="I7" s="4">
        <f>H7*AD7</f>
        <v>0</v>
      </c>
      <c r="K7" s="4">
        <f>J7*AD7</f>
        <v>0</v>
      </c>
      <c r="L7" s="4">
        <v>200</v>
      </c>
      <c r="M7" s="4">
        <f>L7*AD7</f>
        <v>28.286</v>
      </c>
      <c r="O7" s="4">
        <f>N7*AD7</f>
        <v>0</v>
      </c>
      <c r="Q7" s="4">
        <f>P7*AD7</f>
        <v>0</v>
      </c>
      <c r="T7" s="4" t="s">
        <v>119</v>
      </c>
      <c r="AB7" s="4" t="s">
        <v>232</v>
      </c>
      <c r="AC7" s="4">
        <f>B7+D7+F7+H7+J7+L7+N7+P7</f>
        <v>399</v>
      </c>
      <c r="AD7" s="4">
        <v>0.14143</v>
      </c>
      <c r="AE7" s="24">
        <f>AC7*AD7</f>
        <v>56.43057</v>
      </c>
      <c r="AG7" s="4">
        <v>11</v>
      </c>
      <c r="AL7" s="4" t="s">
        <v>138</v>
      </c>
      <c r="AO7" s="4" t="s">
        <v>109</v>
      </c>
      <c r="AP7" s="4">
        <f>COUNTA(U2:U49)</f>
        <v>0</v>
      </c>
    </row>
    <row r="8" spans="1:42" ht="14.25">
      <c r="A8" s="27">
        <v>42893</v>
      </c>
      <c r="C8" s="4">
        <f>B8*AD8</f>
        <v>0</v>
      </c>
      <c r="D8" s="4">
        <f>138</f>
        <v>138</v>
      </c>
      <c r="E8" s="4">
        <f>D8*AD8</f>
        <v>19.51734</v>
      </c>
      <c r="G8" s="4">
        <f>F8*AD8</f>
        <v>0</v>
      </c>
      <c r="I8" s="4">
        <f>H8*AD8</f>
        <v>0</v>
      </c>
      <c r="K8" s="4">
        <f>J8*AD8</f>
        <v>0</v>
      </c>
      <c r="L8" s="4">
        <v>200</v>
      </c>
      <c r="M8" s="4">
        <f>L8*AD8</f>
        <v>28.286</v>
      </c>
      <c r="O8" s="4">
        <f>N8*AD8</f>
        <v>0</v>
      </c>
      <c r="Q8" s="4">
        <f>P8*AD8</f>
        <v>0</v>
      </c>
      <c r="T8" s="4" t="s">
        <v>119</v>
      </c>
      <c r="AB8" s="4" t="s">
        <v>232</v>
      </c>
      <c r="AC8" s="4">
        <f>B8+D8+F8+H8+J8+L8+N8+P8</f>
        <v>338</v>
      </c>
      <c r="AD8" s="4">
        <v>0.14143</v>
      </c>
      <c r="AE8" s="24">
        <f>AC8*AD8</f>
        <v>47.80334</v>
      </c>
      <c r="AG8" s="4">
        <v>11</v>
      </c>
      <c r="AI8" s="4" t="s">
        <v>140</v>
      </c>
      <c r="AJ8" s="26">
        <f>SUM(M2:M994)</f>
        <v>785.67411</v>
      </c>
      <c r="AL8" s="4" t="s">
        <v>103</v>
      </c>
      <c r="AM8" s="26">
        <f>AJ8/$AJ$5</f>
        <v>26.189137000000002</v>
      </c>
      <c r="AO8" s="4" t="s">
        <v>141</v>
      </c>
      <c r="AP8" s="4">
        <f>COUNTA(S2:S49)</f>
        <v>0</v>
      </c>
    </row>
    <row r="9" spans="1:42" ht="14.25">
      <c r="A9" s="27">
        <v>42894</v>
      </c>
      <c r="B9" s="1"/>
      <c r="C9" s="4">
        <f>B9*AD9</f>
        <v>0</v>
      </c>
      <c r="D9" s="4">
        <f>170+43</f>
        <v>213</v>
      </c>
      <c r="E9" s="4">
        <f>D9*AD9</f>
        <v>30.12459</v>
      </c>
      <c r="F9" s="4">
        <f>130</f>
        <v>130</v>
      </c>
      <c r="G9" s="4">
        <f>F9*AD9</f>
        <v>18.3859</v>
      </c>
      <c r="I9" s="4">
        <f>H9*AD9</f>
        <v>0</v>
      </c>
      <c r="J9" s="4">
        <f>5828-100</f>
        <v>5728</v>
      </c>
      <c r="K9" s="4">
        <f>J9*AD9</f>
        <v>810.11104</v>
      </c>
      <c r="L9" s="4">
        <f>5*23.5</f>
        <v>117.5</v>
      </c>
      <c r="M9" s="4">
        <f>L9*AD9</f>
        <v>16.618025</v>
      </c>
      <c r="O9" s="4">
        <f>N9*AD9</f>
        <v>0</v>
      </c>
      <c r="Q9" s="4">
        <f>P9*AD9</f>
        <v>0</v>
      </c>
      <c r="T9" s="4" t="s">
        <v>119</v>
      </c>
      <c r="AB9" s="4" t="s">
        <v>232</v>
      </c>
      <c r="AC9" s="4">
        <f>B9+D9+F9+H9+J9+L9+N9+P9</f>
        <v>6188.5</v>
      </c>
      <c r="AD9" s="4">
        <v>0.14143</v>
      </c>
      <c r="AE9" s="24">
        <f>AC9*AD9</f>
        <v>875.239555</v>
      </c>
      <c r="AG9" s="4">
        <v>11</v>
      </c>
      <c r="AI9" s="4" t="s">
        <v>143</v>
      </c>
      <c r="AJ9" s="26">
        <f>SUM(C2:C994)</f>
        <v>334.45737999999994</v>
      </c>
      <c r="AL9" s="4" t="s">
        <v>93</v>
      </c>
      <c r="AM9" s="4">
        <f>AJ9/$AJ$5</f>
        <v>11.148579333333332</v>
      </c>
      <c r="AO9" s="4" t="s">
        <v>110</v>
      </c>
      <c r="AP9" s="4">
        <f>COUNTA(V2:V50)</f>
        <v>0</v>
      </c>
    </row>
    <row r="10" spans="1:42" ht="14.25">
      <c r="A10" s="27">
        <v>42895</v>
      </c>
      <c r="B10" s="4">
        <v>30</v>
      </c>
      <c r="C10" s="4">
        <f>B10*AD10</f>
        <v>4.2429</v>
      </c>
      <c r="D10" s="4">
        <f>175</f>
        <v>175</v>
      </c>
      <c r="E10" s="4">
        <f>D10*AD10</f>
        <v>24.75025</v>
      </c>
      <c r="F10" s="4">
        <v>150</v>
      </c>
      <c r="G10" s="4">
        <f>F10*AD10</f>
        <v>21.2145</v>
      </c>
      <c r="I10" s="4">
        <f>H10*AD10</f>
        <v>0</v>
      </c>
      <c r="J10" s="4">
        <v>150</v>
      </c>
      <c r="K10" s="4">
        <f>J10*AD10</f>
        <v>21.2145</v>
      </c>
      <c r="L10" s="4">
        <v>117.5</v>
      </c>
      <c r="M10" s="4">
        <f>L10*AD10</f>
        <v>16.618025</v>
      </c>
      <c r="O10" s="4">
        <f>N10*AD10</f>
        <v>0</v>
      </c>
      <c r="Q10" s="4">
        <f>P10*AD10</f>
        <v>0</v>
      </c>
      <c r="T10" s="4" t="s">
        <v>119</v>
      </c>
      <c r="AB10" s="4" t="s">
        <v>232</v>
      </c>
      <c r="AC10" s="4">
        <f>B10+D10+F10+H10+J10+L10+N10+P10</f>
        <v>622.5</v>
      </c>
      <c r="AD10" s="4">
        <v>0.14143</v>
      </c>
      <c r="AE10" s="24">
        <f>AC10*AD10</f>
        <v>88.040175</v>
      </c>
      <c r="AG10" s="4">
        <v>11</v>
      </c>
      <c r="AI10" s="4" t="s">
        <v>145</v>
      </c>
      <c r="AJ10" s="26">
        <f>SUM(E2:E994)</f>
        <v>622.4772</v>
      </c>
      <c r="AL10" s="4" t="s">
        <v>146</v>
      </c>
      <c r="AM10" s="4">
        <f>AJ10/$AJ$5</f>
        <v>20.74924</v>
      </c>
      <c r="AO10" s="4" t="s">
        <v>184</v>
      </c>
      <c r="AP10" s="4">
        <f>COUNTA(Y2:Y51)</f>
        <v>0</v>
      </c>
    </row>
    <row r="11" spans="1:39" ht="14.25">
      <c r="A11" s="27">
        <v>42896</v>
      </c>
      <c r="C11" s="4">
        <f>B11*AD11</f>
        <v>0</v>
      </c>
      <c r="E11" s="4">
        <f>D11*AD11</f>
        <v>0</v>
      </c>
      <c r="F11" s="4">
        <f>200+200+85</f>
        <v>485</v>
      </c>
      <c r="G11" s="4">
        <f>F11*AD11</f>
        <v>68.59355</v>
      </c>
      <c r="I11" s="4">
        <f>H11*AD11</f>
        <v>0</v>
      </c>
      <c r="K11" s="4">
        <f>J11*AD11</f>
        <v>0</v>
      </c>
      <c r="L11" s="4">
        <v>117.5</v>
      </c>
      <c r="M11" s="4">
        <f>L11*AD11</f>
        <v>16.618025</v>
      </c>
      <c r="O11" s="4">
        <f>N11*AD11</f>
        <v>0</v>
      </c>
      <c r="Q11" s="4">
        <f>P11*AD11</f>
        <v>0</v>
      </c>
      <c r="T11" s="4" t="s">
        <v>119</v>
      </c>
      <c r="AB11" s="33" t="s">
        <v>232</v>
      </c>
      <c r="AC11" s="4">
        <f>B11+D11+F11+H11+J11+L11+N11+P11</f>
        <v>602.5</v>
      </c>
      <c r="AD11" s="4">
        <v>0.14143</v>
      </c>
      <c r="AE11" s="24">
        <f>AC11*AD11</f>
        <v>85.211575</v>
      </c>
      <c r="AG11" s="4">
        <v>11</v>
      </c>
      <c r="AI11" s="4" t="s">
        <v>149</v>
      </c>
      <c r="AJ11" s="26">
        <f>SUM(G2:G994)</f>
        <v>443.91295</v>
      </c>
      <c r="AL11" s="4" t="s">
        <v>150</v>
      </c>
      <c r="AM11" s="26">
        <f>AJ11/$AJ$5</f>
        <v>14.797098333333334</v>
      </c>
    </row>
    <row r="12" spans="1:39" ht="14.25">
      <c r="A12" s="27">
        <v>42897</v>
      </c>
      <c r="C12" s="4">
        <f>B12*AD12</f>
        <v>0</v>
      </c>
      <c r="D12" s="4">
        <v>163</v>
      </c>
      <c r="E12" s="4">
        <f>D12*AD12</f>
        <v>23.05309</v>
      </c>
      <c r="F12" s="4">
        <f>50+130</f>
        <v>180</v>
      </c>
      <c r="G12" s="4">
        <f>F12*AD12</f>
        <v>25.4574</v>
      </c>
      <c r="I12" s="4">
        <f>H12*AD12</f>
        <v>0</v>
      </c>
      <c r="K12" s="4">
        <f>J12*AD12</f>
        <v>0</v>
      </c>
      <c r="L12" s="4">
        <v>117.5</v>
      </c>
      <c r="M12" s="4">
        <f>L12*AD12</f>
        <v>16.618025</v>
      </c>
      <c r="O12" s="4">
        <f>N12*AD12</f>
        <v>0</v>
      </c>
      <c r="Q12" s="4">
        <f>P12*AD12</f>
        <v>0</v>
      </c>
      <c r="T12" s="4" t="s">
        <v>119</v>
      </c>
      <c r="AB12" s="33" t="s">
        <v>232</v>
      </c>
      <c r="AC12" s="4">
        <f>B12+D12+F12+H12+J12+L12+N12+P12</f>
        <v>460.5</v>
      </c>
      <c r="AD12" s="4">
        <v>0.14143</v>
      </c>
      <c r="AE12" s="24">
        <f>AC12*AD12</f>
        <v>65.128515</v>
      </c>
      <c r="AG12" s="4">
        <v>11</v>
      </c>
      <c r="AI12" s="4" t="s">
        <v>151</v>
      </c>
      <c r="AJ12" s="26">
        <f>SUM(K2:K994)</f>
        <v>868.93269</v>
      </c>
      <c r="AL12" s="4" t="s">
        <v>101</v>
      </c>
      <c r="AM12" s="26">
        <f>AJ12/$AJ$5</f>
        <v>28.964423</v>
      </c>
    </row>
    <row r="13" spans="1:39" ht="14.25">
      <c r="A13" s="27">
        <v>42898</v>
      </c>
      <c r="B13" s="1"/>
      <c r="C13" s="4">
        <f>B13*AD13</f>
        <v>0</v>
      </c>
      <c r="D13" s="4">
        <f>132</f>
        <v>132</v>
      </c>
      <c r="E13" s="4">
        <f>D13*AD13</f>
        <v>18.66876</v>
      </c>
      <c r="F13" s="4">
        <v>200</v>
      </c>
      <c r="G13" s="4">
        <f>F13*AD13</f>
        <v>28.286</v>
      </c>
      <c r="I13" s="4">
        <f>H13*AD13</f>
        <v>0</v>
      </c>
      <c r="K13" s="4">
        <f>J13*AD13</f>
        <v>0</v>
      </c>
      <c r="L13" s="4">
        <f>117.5*2</f>
        <v>235</v>
      </c>
      <c r="M13" s="4">
        <f>L13*AD13</f>
        <v>33.23605</v>
      </c>
      <c r="O13" s="4">
        <f>N13*AD13</f>
        <v>0</v>
      </c>
      <c r="Q13" s="4">
        <f>P13*AD13</f>
        <v>0</v>
      </c>
      <c r="T13" s="4" t="s">
        <v>119</v>
      </c>
      <c r="AB13" s="33" t="s">
        <v>232</v>
      </c>
      <c r="AC13" s="4">
        <f>B13+D13+F13+H13+J13+L13+N13+P13</f>
        <v>567</v>
      </c>
      <c r="AD13" s="4">
        <v>0.14143</v>
      </c>
      <c r="AE13" s="24">
        <f>AC13*AD13</f>
        <v>80.19081</v>
      </c>
      <c r="AG13" s="4">
        <v>11</v>
      </c>
      <c r="AI13" s="4" t="s">
        <v>153</v>
      </c>
      <c r="AJ13" s="4">
        <f>SUM(I2:I994)</f>
        <v>188.101</v>
      </c>
      <c r="AL13" s="4" t="s">
        <v>99</v>
      </c>
      <c r="AM13" s="26">
        <f>AJ13/$AJ$5</f>
        <v>6.270033333333333</v>
      </c>
    </row>
    <row r="14" spans="1:36" ht="14.25">
      <c r="A14" s="27">
        <v>42899</v>
      </c>
      <c r="B14" s="4">
        <f>510</f>
        <v>510</v>
      </c>
      <c r="C14" s="4">
        <f>B14*AD14</f>
        <v>72.1293</v>
      </c>
      <c r="D14" s="4">
        <v>72</v>
      </c>
      <c r="E14" s="4">
        <f>D14*AD14</f>
        <v>10.18296</v>
      </c>
      <c r="F14" s="4">
        <v>180</v>
      </c>
      <c r="G14" s="4">
        <f>F14*AD14</f>
        <v>25.4574</v>
      </c>
      <c r="I14" s="4">
        <f>H14*AD14</f>
        <v>0</v>
      </c>
      <c r="K14" s="4">
        <f>J14*AD14</f>
        <v>0</v>
      </c>
      <c r="L14" s="4">
        <v>200</v>
      </c>
      <c r="M14" s="4">
        <f>L14*AD14</f>
        <v>28.286</v>
      </c>
      <c r="O14" s="4">
        <f>N14*AD14</f>
        <v>0</v>
      </c>
      <c r="Q14" s="4">
        <f>P14*AD14</f>
        <v>0</v>
      </c>
      <c r="T14" s="4" t="s">
        <v>119</v>
      </c>
      <c r="AB14" s="33" t="s">
        <v>233</v>
      </c>
      <c r="AC14" s="4">
        <f>B14+D14+F14+H14+J14+L14+N14+P14</f>
        <v>962</v>
      </c>
      <c r="AD14" s="4">
        <v>0.14143</v>
      </c>
      <c r="AE14" s="24">
        <f>AC14*AD14</f>
        <v>136.05566</v>
      </c>
      <c r="AG14" s="4">
        <v>11</v>
      </c>
      <c r="AI14" s="4" t="s">
        <v>163</v>
      </c>
      <c r="AJ14" s="26">
        <f>SUM(R2:R994)</f>
        <v>0</v>
      </c>
    </row>
    <row r="15" spans="1:36" ht="14.25">
      <c r="A15" s="27">
        <v>42900</v>
      </c>
      <c r="C15" s="4">
        <f>B15*AD15</f>
        <v>0</v>
      </c>
      <c r="D15" s="4">
        <f>18+138</f>
        <v>156</v>
      </c>
      <c r="E15" s="4">
        <f>D15*AD15</f>
        <v>22.06308</v>
      </c>
      <c r="F15" s="4">
        <v>160</v>
      </c>
      <c r="G15" s="4">
        <f>F15*AD15</f>
        <v>22.6288</v>
      </c>
      <c r="I15" s="4">
        <f>H15*AD15</f>
        <v>0</v>
      </c>
      <c r="J15" s="4">
        <v>5</v>
      </c>
      <c r="K15" s="4">
        <f>J15*AD15</f>
        <v>0.70715</v>
      </c>
      <c r="L15" s="4">
        <v>200</v>
      </c>
      <c r="M15" s="4">
        <f>L15*AD15</f>
        <v>28.286</v>
      </c>
      <c r="O15" s="4">
        <f>N15*AD15</f>
        <v>0</v>
      </c>
      <c r="Q15" s="4">
        <f>P15*AD15</f>
        <v>0</v>
      </c>
      <c r="T15" s="4" t="s">
        <v>119</v>
      </c>
      <c r="AB15" s="33" t="s">
        <v>234</v>
      </c>
      <c r="AC15" s="4">
        <f>B15+D15+F15+H15+J15+L15+N15+P15</f>
        <v>521</v>
      </c>
      <c r="AD15" s="4">
        <v>0.14143</v>
      </c>
      <c r="AE15" s="24">
        <f>AC15*AD15</f>
        <v>73.68503</v>
      </c>
      <c r="AG15" s="4">
        <v>11</v>
      </c>
      <c r="AI15" s="4" t="s">
        <v>194</v>
      </c>
      <c r="AJ15" s="4">
        <f>SUM(Q2:Q60)</f>
        <v>0</v>
      </c>
    </row>
    <row r="16" spans="1:35" ht="14.25">
      <c r="A16" s="27">
        <v>42901</v>
      </c>
      <c r="C16" s="4">
        <f>B16*AD16</f>
        <v>0</v>
      </c>
      <c r="D16" s="4">
        <f>6+9+115</f>
        <v>130</v>
      </c>
      <c r="E16" s="4">
        <f>D16*AD16</f>
        <v>18.3859</v>
      </c>
      <c r="F16" s="4">
        <v>160</v>
      </c>
      <c r="G16" s="4">
        <f>F16*AD16</f>
        <v>22.6288</v>
      </c>
      <c r="H16" s="4">
        <v>700</v>
      </c>
      <c r="I16" s="4">
        <f>H16*AD16</f>
        <v>99.001</v>
      </c>
      <c r="K16" s="4">
        <f>J16*AD16</f>
        <v>0</v>
      </c>
      <c r="L16" s="4">
        <v>200</v>
      </c>
      <c r="M16" s="4">
        <f>L16*AD16</f>
        <v>28.286</v>
      </c>
      <c r="O16" s="4">
        <f>N16*AD16</f>
        <v>0</v>
      </c>
      <c r="Q16" s="4">
        <f>P16*AD16</f>
        <v>0</v>
      </c>
      <c r="T16" s="4" t="s">
        <v>119</v>
      </c>
      <c r="AB16" s="33" t="s">
        <v>234</v>
      </c>
      <c r="AC16" s="4">
        <f>B16+D16+F16+H16+J16+L16+N16+P16</f>
        <v>1190</v>
      </c>
      <c r="AD16" s="4">
        <v>0.14143</v>
      </c>
      <c r="AE16" s="24">
        <f>AC16*AD16</f>
        <v>168.3017</v>
      </c>
      <c r="AG16" s="4">
        <v>11</v>
      </c>
      <c r="AI16" s="30"/>
    </row>
    <row r="17" spans="1:33" ht="14.25">
      <c r="A17" s="27">
        <v>42902</v>
      </c>
      <c r="B17" s="4">
        <f>(70*2)+(40*2)+(90*2)</f>
        <v>400</v>
      </c>
      <c r="C17" s="4">
        <f>B17*AD17</f>
        <v>56.572</v>
      </c>
      <c r="D17" s="4">
        <f>20+16</f>
        <v>36</v>
      </c>
      <c r="E17" s="4">
        <f>D17*AD17</f>
        <v>5.09148</v>
      </c>
      <c r="F17" s="4">
        <v>120</v>
      </c>
      <c r="G17" s="4">
        <f>F17*AD17</f>
        <v>16.9716</v>
      </c>
      <c r="I17" s="4">
        <f>H17*AD17</f>
        <v>0</v>
      </c>
      <c r="K17" s="4">
        <f>J17*AD17</f>
        <v>0</v>
      </c>
      <c r="L17" s="4">
        <v>150</v>
      </c>
      <c r="M17" s="4">
        <f>L17*AD17</f>
        <v>21.2145</v>
      </c>
      <c r="O17" s="4">
        <f>N17*AD17</f>
        <v>0</v>
      </c>
      <c r="Q17" s="4">
        <f>P17*AD17</f>
        <v>0</v>
      </c>
      <c r="T17" s="4" t="s">
        <v>119</v>
      </c>
      <c r="AB17" s="33" t="s">
        <v>235</v>
      </c>
      <c r="AC17" s="4">
        <f>B17+D17+F17+H17+J17+L17+N17+P17</f>
        <v>706</v>
      </c>
      <c r="AD17" s="4">
        <v>0.14143</v>
      </c>
      <c r="AE17" s="24">
        <f>AC17*AD17</f>
        <v>99.84958</v>
      </c>
      <c r="AG17" s="4">
        <v>11</v>
      </c>
    </row>
    <row r="18" spans="1:33" ht="14.25">
      <c r="A18" s="27">
        <v>42903</v>
      </c>
      <c r="B18" s="4">
        <v>40</v>
      </c>
      <c r="C18" s="4">
        <f>B18*AD18</f>
        <v>5.6572</v>
      </c>
      <c r="E18" s="4">
        <f>D18*AD18</f>
        <v>0</v>
      </c>
      <c r="G18" s="4">
        <f>F18*AD18</f>
        <v>0</v>
      </c>
      <c r="I18" s="4">
        <f>H18*AD18</f>
        <v>0</v>
      </c>
      <c r="K18" s="4">
        <f>J18*AD18</f>
        <v>0</v>
      </c>
      <c r="M18" s="4">
        <f>L18*AD18</f>
        <v>0</v>
      </c>
      <c r="O18" s="4">
        <f>N18*AD18</f>
        <v>0</v>
      </c>
      <c r="Q18" s="4">
        <f>P18*AD18</f>
        <v>0</v>
      </c>
      <c r="AB18" s="33" t="s">
        <v>236</v>
      </c>
      <c r="AC18" s="4">
        <f>B18+D18+F18+H18+J18+L18+N18+P18</f>
        <v>40</v>
      </c>
      <c r="AD18" s="4">
        <v>0.14143</v>
      </c>
      <c r="AE18" s="24">
        <f>AC18*AD18</f>
        <v>5.6572</v>
      </c>
      <c r="AG18" s="4">
        <v>11</v>
      </c>
    </row>
    <row r="19" spans="1:33" ht="14.25">
      <c r="A19" s="27"/>
      <c r="B19" s="4">
        <f>1.6*2+0.5*2+0.35*2+0.5*2</f>
        <v>5.9</v>
      </c>
      <c r="C19" s="4">
        <f>B19*AD19</f>
        <v>19.883000000000003</v>
      </c>
      <c r="D19" s="4">
        <f>0.75+2.9</f>
        <v>3.65</v>
      </c>
      <c r="E19" s="4">
        <f>D19*AD19</f>
        <v>12.3005</v>
      </c>
      <c r="F19" s="4">
        <f>2.25*2</f>
        <v>4.5</v>
      </c>
      <c r="G19" s="4">
        <f>F19*AD19</f>
        <v>15.165000000000001</v>
      </c>
      <c r="I19" s="4">
        <f>H19*AD19</f>
        <v>0</v>
      </c>
      <c r="K19" s="4">
        <f>J19*AD19</f>
        <v>0</v>
      </c>
      <c r="L19" s="4">
        <v>12</v>
      </c>
      <c r="M19" s="4">
        <f>L19*AD19</f>
        <v>40.44</v>
      </c>
      <c r="O19" s="4">
        <f>N19*AD19</f>
        <v>0</v>
      </c>
      <c r="Q19" s="4">
        <f>P19*AD19</f>
        <v>0</v>
      </c>
      <c r="T19" s="4" t="s">
        <v>119</v>
      </c>
      <c r="AA19" s="4">
        <v>1</v>
      </c>
      <c r="AB19" s="33"/>
      <c r="AC19" s="4">
        <f>B19+D19+F19+H19+J19+L19+N19+P19</f>
        <v>26.05</v>
      </c>
      <c r="AD19" s="4">
        <v>3.37</v>
      </c>
      <c r="AE19" s="24">
        <f>AC19*AD19</f>
        <v>87.7885</v>
      </c>
      <c r="AG19" s="4">
        <v>12</v>
      </c>
    </row>
    <row r="20" spans="1:33" ht="14.25">
      <c r="A20" s="27">
        <v>42904</v>
      </c>
      <c r="B20" s="4">
        <f>0.5*2+0.75*2+0.25*6</f>
        <v>4</v>
      </c>
      <c r="C20" s="4">
        <f>B20*AD20</f>
        <v>13.48</v>
      </c>
      <c r="D20" s="4">
        <f>0.15+0.1+4.42</f>
        <v>4.67</v>
      </c>
      <c r="E20" s="4">
        <f>D20*AD20</f>
        <v>15.7379</v>
      </c>
      <c r="F20" s="4">
        <v>5.25</v>
      </c>
      <c r="G20" s="4">
        <f>F20*AD20</f>
        <v>17.6925</v>
      </c>
      <c r="H20" s="4">
        <v>6</v>
      </c>
      <c r="I20" s="4">
        <f>H20*AD20</f>
        <v>20.22</v>
      </c>
      <c r="K20" s="4">
        <f>J20*AD20</f>
        <v>0</v>
      </c>
      <c r="L20" s="4">
        <v>12</v>
      </c>
      <c r="M20" s="4">
        <f>L20*AD20</f>
        <v>40.44</v>
      </c>
      <c r="O20" s="4">
        <f>N20*AD20</f>
        <v>0</v>
      </c>
      <c r="Q20" s="4">
        <f>P20*AD20</f>
        <v>0</v>
      </c>
      <c r="T20" s="4" t="s">
        <v>119</v>
      </c>
      <c r="AB20" s="33" t="s">
        <v>237</v>
      </c>
      <c r="AC20" s="4">
        <f>B20+D20+F20+H20+J20+L20+N20+P20</f>
        <v>31.92</v>
      </c>
      <c r="AD20" s="4">
        <v>3.37</v>
      </c>
      <c r="AE20" s="24">
        <f>AC20*AD20</f>
        <v>107.5704</v>
      </c>
      <c r="AG20" s="4">
        <v>12</v>
      </c>
    </row>
    <row r="21" spans="1:33" ht="14.25">
      <c r="A21" s="2">
        <v>42905</v>
      </c>
      <c r="B21" s="4">
        <v>2</v>
      </c>
      <c r="C21" s="4">
        <f>B21*AD21</f>
        <v>6.74</v>
      </c>
      <c r="D21" s="4">
        <v>5.86</v>
      </c>
      <c r="E21" s="4">
        <f>D21*AD21</f>
        <v>19.7482</v>
      </c>
      <c r="F21" s="4">
        <v>4</v>
      </c>
      <c r="G21" s="4">
        <f>F21*AD21</f>
        <v>13.48</v>
      </c>
      <c r="I21" s="4">
        <f>H21*AD21</f>
        <v>0</v>
      </c>
      <c r="K21" s="4">
        <f>J21*AD21</f>
        <v>0</v>
      </c>
      <c r="L21" s="4">
        <v>30</v>
      </c>
      <c r="M21" s="4">
        <f>L21*AD21</f>
        <v>101.10000000000001</v>
      </c>
      <c r="O21" s="4">
        <f>N21*AD21</f>
        <v>0</v>
      </c>
      <c r="Q21" s="4">
        <f>P21*AD21</f>
        <v>0</v>
      </c>
      <c r="T21" s="4" t="s">
        <v>119</v>
      </c>
      <c r="AB21" s="33" t="s">
        <v>238</v>
      </c>
      <c r="AC21" s="4">
        <f>B21+D21+F21+H21+J21+L21+N21+P21</f>
        <v>41.86</v>
      </c>
      <c r="AD21" s="4">
        <v>3.37</v>
      </c>
      <c r="AE21" s="24">
        <f>AC21*AD21</f>
        <v>141.0682</v>
      </c>
      <c r="AG21" s="4">
        <v>12</v>
      </c>
    </row>
    <row r="22" spans="1:33" ht="14.25">
      <c r="A22" s="27">
        <v>42906</v>
      </c>
      <c r="B22" s="4">
        <f>0.5*2</f>
        <v>1</v>
      </c>
      <c r="C22" s="4">
        <f>B22*AD22</f>
        <v>3.37</v>
      </c>
      <c r="E22" s="4">
        <f>D22*AD22</f>
        <v>0</v>
      </c>
      <c r="F22" s="4">
        <v>1</v>
      </c>
      <c r="G22" s="4">
        <f>F22*AD22</f>
        <v>3.37</v>
      </c>
      <c r="I22" s="4">
        <f>H22*AD22</f>
        <v>0</v>
      </c>
      <c r="K22" s="4">
        <f>J22*AD22</f>
        <v>0</v>
      </c>
      <c r="M22" s="4">
        <f>L22*AD22</f>
        <v>0</v>
      </c>
      <c r="O22" s="4">
        <f>N22*AD22</f>
        <v>0</v>
      </c>
      <c r="Q22" s="4">
        <f>P22*AD22</f>
        <v>0</v>
      </c>
      <c r="T22" s="4" t="s">
        <v>119</v>
      </c>
      <c r="AB22" s="33" t="s">
        <v>239</v>
      </c>
      <c r="AC22" s="4">
        <f>B22+D22+F22+H22+J22+L22+N22+P22</f>
        <v>2</v>
      </c>
      <c r="AD22" s="4">
        <v>3.37</v>
      </c>
      <c r="AE22" s="24">
        <f>AC22*AD22</f>
        <v>6.74</v>
      </c>
      <c r="AG22" s="4">
        <v>12</v>
      </c>
    </row>
    <row r="23" spans="1:33" ht="14.25">
      <c r="A23" s="27"/>
      <c r="B23" s="4">
        <f>35*2+10*2+2</f>
        <v>92</v>
      </c>
      <c r="C23" s="4">
        <f>B23*AD23</f>
        <v>45.263999999999996</v>
      </c>
      <c r="D23" s="4">
        <v>28.12</v>
      </c>
      <c r="E23" s="4">
        <f>D23*AD23</f>
        <v>13.835040000000001</v>
      </c>
      <c r="F23" s="4">
        <v>40</v>
      </c>
      <c r="G23" s="4">
        <f>F23*AD23</f>
        <v>19.68</v>
      </c>
      <c r="I23" s="4">
        <f>H23*AD23</f>
        <v>0</v>
      </c>
      <c r="K23" s="4">
        <f>J23*AD23</f>
        <v>0</v>
      </c>
      <c r="M23" s="4">
        <f>L23*AD23</f>
        <v>0</v>
      </c>
      <c r="O23" s="4">
        <f>N23*AD23</f>
        <v>0</v>
      </c>
      <c r="Q23" s="4">
        <f>P23*AD23</f>
        <v>0</v>
      </c>
      <c r="AB23" s="33"/>
      <c r="AC23" s="4">
        <f>B23+D23+F23+H23+J23+L23+N23+P23</f>
        <v>160.12</v>
      </c>
      <c r="AD23" s="4">
        <f>492/1000</f>
        <v>0.492</v>
      </c>
      <c r="AE23" s="24">
        <f>AC23*AD23</f>
        <v>78.77904</v>
      </c>
      <c r="AG23" s="4">
        <v>13</v>
      </c>
    </row>
    <row r="24" spans="1:33" ht="14.25">
      <c r="A24" s="27">
        <v>42907</v>
      </c>
      <c r="C24" s="4">
        <f>B24*AD24</f>
        <v>0</v>
      </c>
      <c r="D24" s="4">
        <f>35.8+4+10</f>
        <v>49.8</v>
      </c>
      <c r="E24" s="4">
        <f>D24*AD24</f>
        <v>24.5016</v>
      </c>
      <c r="F24" s="4">
        <v>30</v>
      </c>
      <c r="G24" s="4">
        <f>F24*AD24</f>
        <v>14.76</v>
      </c>
      <c r="I24" s="4">
        <f>H24*AD24</f>
        <v>0</v>
      </c>
      <c r="K24" s="4">
        <f>J24*AD24</f>
        <v>0</v>
      </c>
      <c r="M24" s="4">
        <f>L24*AD24</f>
        <v>0</v>
      </c>
      <c r="O24" s="4">
        <f>N24*AD24</f>
        <v>0</v>
      </c>
      <c r="Q24" s="4">
        <f>P24*AD24</f>
        <v>0</v>
      </c>
      <c r="T24" s="4" t="s">
        <v>119</v>
      </c>
      <c r="AB24" s="33" t="s">
        <v>240</v>
      </c>
      <c r="AC24" s="4">
        <f>B24+D24+F24+H24+J24+L24+N24+P24</f>
        <v>79.8</v>
      </c>
      <c r="AD24" s="4">
        <f>492/1000</f>
        <v>0.492</v>
      </c>
      <c r="AE24" s="24">
        <f>AC24*AD24</f>
        <v>39.2616</v>
      </c>
      <c r="AG24" s="4">
        <v>13</v>
      </c>
    </row>
    <row r="25" spans="1:33" ht="14.25">
      <c r="A25" s="27">
        <v>42908</v>
      </c>
      <c r="C25" s="4">
        <f>B25*AD25</f>
        <v>0</v>
      </c>
      <c r="D25" s="4">
        <f>27.15+10</f>
        <v>37.15</v>
      </c>
      <c r="E25" s="4">
        <f>D25*AD25</f>
        <v>18.2778</v>
      </c>
      <c r="F25" s="4">
        <v>35</v>
      </c>
      <c r="G25" s="4">
        <f>F25*AD25</f>
        <v>17.22</v>
      </c>
      <c r="I25" s="4">
        <f>H25*AD25</f>
        <v>0</v>
      </c>
      <c r="J25" s="4">
        <v>75</v>
      </c>
      <c r="K25" s="4">
        <f>J25*AD25</f>
        <v>36.9</v>
      </c>
      <c r="M25" s="4">
        <f>L25*AD25</f>
        <v>0</v>
      </c>
      <c r="O25" s="4">
        <f>N25*AD25</f>
        <v>0</v>
      </c>
      <c r="Q25" s="4">
        <f>P25*AD25</f>
        <v>0</v>
      </c>
      <c r="T25" s="4" t="s">
        <v>119</v>
      </c>
      <c r="AB25" s="33" t="s">
        <v>240</v>
      </c>
      <c r="AC25" s="4">
        <f>B25+D25+F25+H25+J25+L25+N25+P25</f>
        <v>147.15</v>
      </c>
      <c r="AD25" s="4">
        <f>492/1000</f>
        <v>0.492</v>
      </c>
      <c r="AE25" s="24">
        <f>AC25*AD25</f>
        <v>72.3978</v>
      </c>
      <c r="AG25" s="4">
        <v>13</v>
      </c>
    </row>
    <row r="26" spans="1:33" ht="14.25">
      <c r="A26" s="27">
        <v>42909</v>
      </c>
      <c r="C26" s="4">
        <f>B26*AD26</f>
        <v>0</v>
      </c>
      <c r="D26" s="4">
        <f>29.35+31.75</f>
        <v>61.1</v>
      </c>
      <c r="E26" s="4">
        <f>D26*AD26</f>
        <v>30.0612</v>
      </c>
      <c r="F26" s="4">
        <v>30</v>
      </c>
      <c r="G26" s="4">
        <f>F26*AD26</f>
        <v>14.76</v>
      </c>
      <c r="I26" s="4">
        <f>H26*AD26</f>
        <v>0</v>
      </c>
      <c r="K26" s="4">
        <f>J26*AD26</f>
        <v>0</v>
      </c>
      <c r="M26" s="4">
        <f>L26*AD26</f>
        <v>0</v>
      </c>
      <c r="O26" s="4">
        <f>N26*AD26</f>
        <v>0</v>
      </c>
      <c r="Q26" s="4">
        <f>P26*AD26</f>
        <v>0</v>
      </c>
      <c r="T26" s="4" t="s">
        <v>119</v>
      </c>
      <c r="AB26" s="4" t="s">
        <v>240</v>
      </c>
      <c r="AC26" s="4">
        <f>B26+D26+F26+H26+J26+L26+N26+P26</f>
        <v>91.1</v>
      </c>
      <c r="AD26" s="4">
        <f>492/1000</f>
        <v>0.492</v>
      </c>
      <c r="AE26" s="24">
        <f>AC26*AD26</f>
        <v>44.8212</v>
      </c>
      <c r="AG26" s="4">
        <v>13</v>
      </c>
    </row>
    <row r="27" spans="1:33" ht="14.25">
      <c r="A27" s="27">
        <v>42910</v>
      </c>
      <c r="B27" s="4">
        <f>5*2+15*2+2.5*2+3*2</f>
        <v>51</v>
      </c>
      <c r="C27" s="4">
        <f>B27*AD27</f>
        <v>25.092</v>
      </c>
      <c r="D27" s="4">
        <f>7.5+32.85</f>
        <v>40.35</v>
      </c>
      <c r="E27" s="4">
        <f>D27*AD27</f>
        <v>19.8522</v>
      </c>
      <c r="F27" s="4">
        <v>36</v>
      </c>
      <c r="G27" s="4">
        <f>F27*AD27</f>
        <v>17.712</v>
      </c>
      <c r="I27" s="4">
        <f>H27*AD27</f>
        <v>0</v>
      </c>
      <c r="K27" s="4">
        <f>J27*AD27</f>
        <v>0</v>
      </c>
      <c r="M27" s="4">
        <f>L27*AD27</f>
        <v>0</v>
      </c>
      <c r="O27" s="4">
        <f>N27*AD27</f>
        <v>0</v>
      </c>
      <c r="Q27" s="4">
        <f>P27*AD27</f>
        <v>0</v>
      </c>
      <c r="T27" s="4" t="s">
        <v>119</v>
      </c>
      <c r="AB27" s="4" t="s">
        <v>241</v>
      </c>
      <c r="AC27" s="4">
        <f>B27+D27+F27+H27+J27+L27+N27+P27</f>
        <v>127.35</v>
      </c>
      <c r="AD27" s="4">
        <f>492/1000</f>
        <v>0.492</v>
      </c>
      <c r="AE27" s="24">
        <f>AC27*AD27</f>
        <v>62.6562</v>
      </c>
      <c r="AG27" s="4">
        <v>13</v>
      </c>
    </row>
    <row r="28" spans="1:33" ht="14.25">
      <c r="A28" s="27">
        <v>42911</v>
      </c>
      <c r="B28" s="4">
        <f>(6+5+10)*2</f>
        <v>42</v>
      </c>
      <c r="C28" s="4">
        <f>B28*AD28</f>
        <v>20.664</v>
      </c>
      <c r="D28" s="4">
        <v>49</v>
      </c>
      <c r="E28" s="4">
        <f>D28*AD28</f>
        <v>24.108</v>
      </c>
      <c r="F28" s="4">
        <v>15</v>
      </c>
      <c r="G28" s="4">
        <f>F28*AD28</f>
        <v>7.38</v>
      </c>
      <c r="I28" s="4">
        <f>H28*AD28</f>
        <v>0</v>
      </c>
      <c r="K28" s="4">
        <f>J28*AD28</f>
        <v>0</v>
      </c>
      <c r="M28" s="4">
        <f>L28*AD28</f>
        <v>0</v>
      </c>
      <c r="O28" s="4">
        <f>N28*AD28</f>
        <v>0</v>
      </c>
      <c r="Q28" s="4">
        <f>P28*AD28</f>
        <v>0</v>
      </c>
      <c r="T28" s="4" t="s">
        <v>119</v>
      </c>
      <c r="AB28" s="4" t="s">
        <v>242</v>
      </c>
      <c r="AC28" s="4">
        <f>B28+D28+F28+H28+J28+L28+N28+P28</f>
        <v>106</v>
      </c>
      <c r="AD28" s="4">
        <f>492/1000</f>
        <v>0.492</v>
      </c>
      <c r="AE28" s="24">
        <f>AC28*AD28</f>
        <v>52.152</v>
      </c>
      <c r="AG28" s="4">
        <v>13</v>
      </c>
    </row>
    <row r="29" spans="1:33" ht="12.75">
      <c r="A29" s="27">
        <v>42912</v>
      </c>
      <c r="C29" s="4">
        <f>B29*AD29</f>
        <v>0</v>
      </c>
      <c r="D29" s="4">
        <v>16.2</v>
      </c>
      <c r="E29" s="4">
        <f>D29*AD29</f>
        <v>7.9704</v>
      </c>
      <c r="F29" s="4">
        <v>36</v>
      </c>
      <c r="G29" s="4">
        <f>F29*AD29</f>
        <v>17.712</v>
      </c>
      <c r="H29" s="4">
        <f>70*2</f>
        <v>140</v>
      </c>
      <c r="I29" s="4">
        <f>H29*AD29</f>
        <v>68.88</v>
      </c>
      <c r="K29" s="4">
        <f>J29*AD29</f>
        <v>0</v>
      </c>
      <c r="M29" s="4">
        <f>L29*AD29</f>
        <v>0</v>
      </c>
      <c r="O29" s="4">
        <f>N29*AD29</f>
        <v>0</v>
      </c>
      <c r="Q29" s="4">
        <f>P29*AD29</f>
        <v>0</v>
      </c>
      <c r="T29" s="4" t="s">
        <v>119</v>
      </c>
      <c r="AB29" s="4" t="s">
        <v>242</v>
      </c>
      <c r="AC29" s="4">
        <f>B29+D29+F29+H29+J29+L29+N29+P29</f>
        <v>192.2</v>
      </c>
      <c r="AD29" s="4">
        <f>492/1000</f>
        <v>0.492</v>
      </c>
      <c r="AE29" s="24">
        <f>AC29*AD29</f>
        <v>94.5624</v>
      </c>
      <c r="AG29" s="4">
        <v>13</v>
      </c>
    </row>
    <row r="30" spans="1:33" ht="12.75">
      <c r="A30" s="27">
        <v>42913</v>
      </c>
      <c r="C30" s="4">
        <f>B30*AD30</f>
        <v>0</v>
      </c>
      <c r="D30" s="4">
        <f>35.2+18.38</f>
        <v>53.58</v>
      </c>
      <c r="E30" s="4">
        <f>D30*AD30</f>
        <v>26.361359999999998</v>
      </c>
      <c r="G30" s="4">
        <f>F30*AD30</f>
        <v>0</v>
      </c>
      <c r="I30" s="4">
        <f>H30*AD30</f>
        <v>0</v>
      </c>
      <c r="K30" s="4">
        <f>J30*AD30</f>
        <v>0</v>
      </c>
      <c r="L30" s="4">
        <v>100</v>
      </c>
      <c r="M30" s="4">
        <f>L30*AD30</f>
        <v>49.2</v>
      </c>
      <c r="O30" s="4">
        <f>N30*AD30</f>
        <v>0</v>
      </c>
      <c r="Q30" s="4">
        <f>P30*AD30</f>
        <v>0</v>
      </c>
      <c r="T30" s="4" t="s">
        <v>119</v>
      </c>
      <c r="AB30" s="4" t="s">
        <v>242</v>
      </c>
      <c r="AC30" s="4">
        <f>B30+D30+F30+H30+J30+L30+N30+P30</f>
        <v>153.57999999999998</v>
      </c>
      <c r="AD30" s="4">
        <f>492/1000</f>
        <v>0.492</v>
      </c>
      <c r="AE30" s="24">
        <f>AC30*AD30</f>
        <v>75.56136</v>
      </c>
      <c r="AG30" s="4">
        <v>13</v>
      </c>
    </row>
    <row r="31" spans="1:33" ht="12.75">
      <c r="A31" s="27">
        <v>42914</v>
      </c>
      <c r="B31" s="4">
        <v>100</v>
      </c>
      <c r="C31" s="4">
        <f>B31*AD31</f>
        <v>49.2</v>
      </c>
      <c r="D31" s="4">
        <f>5+6+3+2+4+28.75</f>
        <v>48.75</v>
      </c>
      <c r="E31" s="4">
        <f>D31*AD31</f>
        <v>23.985</v>
      </c>
      <c r="G31" s="4">
        <f>F31*AD31</f>
        <v>0</v>
      </c>
      <c r="I31" s="4">
        <f>H31*AD31</f>
        <v>0</v>
      </c>
      <c r="K31" s="4">
        <f>J31*AD31</f>
        <v>0</v>
      </c>
      <c r="L31" s="4">
        <v>100</v>
      </c>
      <c r="M31" s="4">
        <f>L31*AD31</f>
        <v>49.2</v>
      </c>
      <c r="O31" s="4">
        <f>N31*AD31</f>
        <v>0</v>
      </c>
      <c r="Q31" s="4">
        <f>P31*AD31</f>
        <v>0</v>
      </c>
      <c r="T31" s="4" t="s">
        <v>119</v>
      </c>
      <c r="AB31" s="4" t="s">
        <v>242</v>
      </c>
      <c r="AC31" s="4">
        <f>B31+D31+F31+H31+J31+L31+N31+P31</f>
        <v>248.75</v>
      </c>
      <c r="AD31" s="4">
        <f>492/1000</f>
        <v>0.492</v>
      </c>
      <c r="AE31" s="24">
        <f>AC31*AD31</f>
        <v>122.385</v>
      </c>
      <c r="AG31" s="4">
        <v>13</v>
      </c>
    </row>
    <row r="32" spans="1:33" ht="12.75">
      <c r="A32" s="27">
        <v>42915</v>
      </c>
      <c r="C32" s="4">
        <f>B32*AD32</f>
        <v>0</v>
      </c>
      <c r="D32" s="4">
        <f>32.5+10</f>
        <v>42.5</v>
      </c>
      <c r="E32" s="4">
        <f>D32*AD32</f>
        <v>20.91</v>
      </c>
      <c r="G32" s="4">
        <f>F32*AD32</f>
        <v>0</v>
      </c>
      <c r="I32" s="4">
        <f>H32*AD32</f>
        <v>0</v>
      </c>
      <c r="K32" s="4">
        <f>J32*AD32</f>
        <v>0</v>
      </c>
      <c r="L32" s="4">
        <v>100</v>
      </c>
      <c r="M32" s="4">
        <f>L32*AD32</f>
        <v>49.2</v>
      </c>
      <c r="O32" s="4">
        <f>N32*AD32</f>
        <v>0</v>
      </c>
      <c r="Q32" s="4">
        <f>P32*AD32</f>
        <v>0</v>
      </c>
      <c r="T32" s="4" t="s">
        <v>119</v>
      </c>
      <c r="AB32" s="4" t="s">
        <v>242</v>
      </c>
      <c r="AC32" s="4">
        <f>B32+D32+F32+H32+J32+L32+N32+P32</f>
        <v>142.5</v>
      </c>
      <c r="AD32" s="4">
        <f>492/1000</f>
        <v>0.492</v>
      </c>
      <c r="AE32" s="24">
        <f>AC32*AD32</f>
        <v>70.11</v>
      </c>
      <c r="AG32" s="4">
        <v>13</v>
      </c>
    </row>
    <row r="33" spans="1:33" ht="12.75">
      <c r="A33" s="25">
        <v>42916</v>
      </c>
      <c r="C33" s="4">
        <f>B33*AD33</f>
        <v>0</v>
      </c>
      <c r="D33" s="4">
        <f>36.67</f>
        <v>36.67</v>
      </c>
      <c r="E33" s="4">
        <f>D33*AD33</f>
        <v>18.04164</v>
      </c>
      <c r="G33" s="4">
        <f>F33*AD33</f>
        <v>0</v>
      </c>
      <c r="I33" s="4">
        <f>H33*AD33</f>
        <v>0</v>
      </c>
      <c r="K33" s="4">
        <f>J33*AD33</f>
        <v>0</v>
      </c>
      <c r="L33" s="4">
        <v>100</v>
      </c>
      <c r="M33" s="4">
        <f>L33*AD33</f>
        <v>49.2</v>
      </c>
      <c r="O33" s="4">
        <f>N33*AD33</f>
        <v>0</v>
      </c>
      <c r="Q33" s="4">
        <f>P33*AD33</f>
        <v>0</v>
      </c>
      <c r="T33" s="4" t="s">
        <v>119</v>
      </c>
      <c r="AB33" s="4" t="s">
        <v>242</v>
      </c>
      <c r="AC33" s="4">
        <f>B33+D33+F33+H33+J33+L33+N33+P33</f>
        <v>136.67000000000002</v>
      </c>
      <c r="AD33" s="4">
        <f>492/1000</f>
        <v>0.492</v>
      </c>
      <c r="AE33" s="24">
        <f>AC33*AD33</f>
        <v>67.24164</v>
      </c>
      <c r="AG33" s="4">
        <v>13</v>
      </c>
    </row>
    <row r="34" spans="1:31" ht="12.7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f>492/1000</f>
        <v>0.492</v>
      </c>
      <c r="AE34" s="24">
        <f>AC34*AD34</f>
        <v>0</v>
      </c>
    </row>
    <row r="35" spans="3:31" ht="12.7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f>(693.63/600000)</f>
        <v>0.00115605</v>
      </c>
      <c r="AE35" s="24">
        <f>AC35*AD35</f>
        <v>0</v>
      </c>
    </row>
    <row r="36" spans="3:31" ht="12.7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f>(693.63/600000)</f>
        <v>0.00115605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f>(693.63/600000)</f>
        <v>0.00115605</v>
      </c>
      <c r="AE37" s="24">
        <f>AC37*AD37</f>
        <v>0</v>
      </c>
    </row>
    <row r="38" spans="3:31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f>492/1000</f>
        <v>0.492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35"/>
  <sheetViews>
    <sheetView tabSelected="1" zoomScale="95" zoomScaleNormal="95" workbookViewId="0" topLeftCell="T1">
      <selection activeCell="X8" sqref="X8"/>
    </sheetView>
  </sheetViews>
  <sheetFormatPr defaultColWidth="11.00390625" defaultRowHeight="14.25"/>
  <cols>
    <col min="1" max="1" width="13.125" style="4" customWidth="1"/>
    <col min="2" max="2" width="9.00390625" style="4" customWidth="1"/>
    <col min="3" max="3" width="11.25390625" style="4" customWidth="1"/>
    <col min="4" max="4" width="13.125" style="4" customWidth="1"/>
    <col min="5" max="6" width="9.875" style="4" customWidth="1"/>
    <col min="7" max="8" width="8.125" style="4" customWidth="1"/>
    <col min="9" max="9" width="10.125" style="4" customWidth="1"/>
    <col min="10" max="10" width="7.50390625" style="4" customWidth="1"/>
    <col min="11" max="12" width="11.00390625" style="4" customWidth="1"/>
    <col min="13" max="13" width="12.875" style="4" customWidth="1"/>
    <col min="14" max="18" width="7.75390625" style="4" customWidth="1"/>
    <col min="19" max="19" width="15.25390625" style="4" customWidth="1"/>
    <col min="20" max="20" width="5.00390625" style="4" customWidth="1"/>
    <col min="21" max="21" width="10.625" style="4" customWidth="1"/>
    <col min="22" max="22" width="6.875" style="4" customWidth="1"/>
    <col min="23" max="23" width="3.25390625" style="4" customWidth="1"/>
    <col min="24" max="24" width="8.375" style="4" customWidth="1"/>
    <col min="25" max="26" width="6.50390625" style="4" customWidth="1"/>
    <col min="27" max="27" width="7.00390625" style="4" customWidth="1"/>
    <col min="28" max="28" width="23.375" style="4" customWidth="1"/>
    <col min="29" max="29" width="15.25390625" style="4" customWidth="1"/>
    <col min="30" max="30" width="8.125" style="4" customWidth="1"/>
    <col min="31" max="31" width="9.00390625" style="24" customWidth="1"/>
    <col min="32" max="32" width="1.4921875" style="4" customWidth="1"/>
    <col min="33" max="33" width="2.75390625" style="4" customWidth="1"/>
    <col min="34" max="34" width="1.875" style="4" customWidth="1"/>
    <col min="35" max="35" width="16.50390625" style="4" customWidth="1"/>
    <col min="36" max="36" width="11.625" style="4" customWidth="1"/>
    <col min="37" max="37" width="1.4921875" style="4" customWidth="1"/>
    <col min="38" max="38" width="16.875" style="4" customWidth="1"/>
    <col min="39" max="39" width="14.25390625" style="4" customWidth="1"/>
    <col min="40" max="40" width="2.00390625" style="4" customWidth="1"/>
    <col min="41" max="41" width="22.125" style="4" customWidth="1"/>
    <col min="42" max="42" width="10.625" style="4" customWidth="1"/>
    <col min="43" max="43" width="2.375" style="4" customWidth="1"/>
    <col min="44" max="44" width="15.125" style="4" customWidth="1"/>
    <col min="45" max="45" width="10.625" style="4" customWidth="1"/>
    <col min="46" max="46" width="2.625" style="4" customWidth="1"/>
    <col min="47" max="47" width="14.625" style="4" customWidth="1"/>
    <col min="48" max="48" width="7.375" style="4" customWidth="1"/>
    <col min="49" max="49" width="10.625" style="4" customWidth="1"/>
    <col min="50" max="50" width="11.875" style="4" customWidth="1"/>
    <col min="51" max="51" width="13.875" style="4" customWidth="1"/>
    <col min="52" max="53" width="10.625" style="4" customWidth="1"/>
    <col min="54" max="54" width="13.50390625" style="4" customWidth="1"/>
    <col min="55" max="16384" width="10.625" style="4" customWidth="1"/>
  </cols>
  <sheetData>
    <row r="1" spans="1:33" ht="14.25">
      <c r="A1" s="25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48</v>
      </c>
      <c r="O1" s="4" t="s">
        <v>105</v>
      </c>
      <c r="P1" s="4" t="s">
        <v>47</v>
      </c>
      <c r="Q1" s="4" t="s">
        <v>183</v>
      </c>
      <c r="R1" s="4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184</v>
      </c>
      <c r="Z1" s="4" t="s">
        <v>113</v>
      </c>
      <c r="AA1" s="4" t="s">
        <v>114</v>
      </c>
      <c r="AC1" s="4" t="s">
        <v>115</v>
      </c>
      <c r="AD1" s="4" t="s">
        <v>116</v>
      </c>
      <c r="AE1" s="26" t="s">
        <v>117</v>
      </c>
      <c r="AG1" s="4" t="s">
        <v>118</v>
      </c>
    </row>
    <row r="2" spans="1:55" ht="14.25">
      <c r="A2" s="27">
        <v>42917</v>
      </c>
      <c r="C2" s="4">
        <f>B2*AD2</f>
        <v>0</v>
      </c>
      <c r="D2" s="4">
        <f>55.5+10+5</f>
        <v>70.5</v>
      </c>
      <c r="E2" s="4">
        <f>D2*AD2</f>
        <v>34.686</v>
      </c>
      <c r="G2" s="4">
        <f>F2*AD2</f>
        <v>0</v>
      </c>
      <c r="I2" s="4">
        <f>H2*AD2</f>
        <v>0</v>
      </c>
      <c r="K2" s="4">
        <f>J2*AD2</f>
        <v>0</v>
      </c>
      <c r="L2" s="4">
        <v>100</v>
      </c>
      <c r="M2" s="4">
        <f>L2*AD2</f>
        <v>49.2</v>
      </c>
      <c r="O2" s="4">
        <f>N2*AD2</f>
        <v>0</v>
      </c>
      <c r="Q2" s="4">
        <f>P2*AD2</f>
        <v>0</v>
      </c>
      <c r="T2" s="4" t="s">
        <v>119</v>
      </c>
      <c r="AB2" s="4" t="s">
        <v>242</v>
      </c>
      <c r="AC2" s="4">
        <f>B2+D2+F2+H2+J2+L2+N2+P2</f>
        <v>170.5</v>
      </c>
      <c r="AD2" s="4">
        <f>492/1000</f>
        <v>0.492</v>
      </c>
      <c r="AE2" s="24">
        <f>AC2*AD2</f>
        <v>83.886</v>
      </c>
      <c r="AG2" s="4">
        <v>13</v>
      </c>
      <c r="AI2" s="4" t="s">
        <v>121</v>
      </c>
      <c r="AJ2" s="4">
        <f>SUM(AE2:AE994)</f>
        <v>3041.9108</v>
      </c>
      <c r="AL2" s="4" t="s">
        <v>122</v>
      </c>
      <c r="AM2" s="28">
        <f>$AJ$2/$AJ$5</f>
        <v>98.12615483870968</v>
      </c>
      <c r="AO2" s="4" t="s">
        <v>123</v>
      </c>
      <c r="AP2" s="4">
        <f>COUNTBLANK(L2:L40)-COUNTBLANK(A2:A40)</f>
        <v>4</v>
      </c>
      <c r="AQ2" s="29"/>
      <c r="AR2" s="29"/>
      <c r="AS2" s="29"/>
      <c r="AT2" s="29"/>
      <c r="AU2" s="29" t="s">
        <v>225</v>
      </c>
      <c r="AV2" s="29">
        <f>SUMIF($AG$2:$AG$44,"=13",$AE$2:$AE$44)</f>
        <v>1443.8478000000002</v>
      </c>
      <c r="AW2" s="29"/>
      <c r="AX2" s="29" t="s">
        <v>243</v>
      </c>
      <c r="AY2" s="29">
        <f>SUMIF($AG$2:$AG$44,"=14",$AE$2:$AE$44)</f>
        <v>1598.0630000000003</v>
      </c>
      <c r="AZ2" s="29"/>
      <c r="BB2" s="5"/>
      <c r="BC2" s="5"/>
    </row>
    <row r="3" spans="1:55" ht="14.25">
      <c r="A3" s="27">
        <v>42918</v>
      </c>
      <c r="C3" s="4">
        <f>B3*AD3</f>
        <v>0</v>
      </c>
      <c r="D3" s="4">
        <f>32+8</f>
        <v>40</v>
      </c>
      <c r="E3" s="4">
        <f>D3*AD3</f>
        <v>19.68</v>
      </c>
      <c r="G3" s="4">
        <f>F3*AD3</f>
        <v>0</v>
      </c>
      <c r="I3" s="4">
        <f>H3*AD3</f>
        <v>0</v>
      </c>
      <c r="K3" s="4">
        <f>J3*AD3</f>
        <v>0</v>
      </c>
      <c r="L3" s="4">
        <v>100</v>
      </c>
      <c r="M3" s="4">
        <f>L3*AD3</f>
        <v>49.2</v>
      </c>
      <c r="O3" s="4">
        <f>N3*AD3</f>
        <v>0</v>
      </c>
      <c r="Q3" s="4">
        <f>P3*AD3</f>
        <v>0</v>
      </c>
      <c r="T3" s="4" t="s">
        <v>119</v>
      </c>
      <c r="AB3" s="4" t="s">
        <v>242</v>
      </c>
      <c r="AC3" s="4">
        <f>B3+D3+F3+H3+J3+L3+N3+P3</f>
        <v>140</v>
      </c>
      <c r="AD3" s="4">
        <f>492/1000</f>
        <v>0.492</v>
      </c>
      <c r="AE3" s="24">
        <f>AC3*AD3</f>
        <v>68.88</v>
      </c>
      <c r="AG3" s="4">
        <v>13</v>
      </c>
      <c r="AI3" s="30"/>
      <c r="AL3" s="30"/>
      <c r="AM3" s="28"/>
      <c r="AO3" s="4" t="s">
        <v>126</v>
      </c>
      <c r="AP3" s="4">
        <f>COUNT(L2:L36)</f>
        <v>27</v>
      </c>
      <c r="AR3" s="29"/>
      <c r="AS3" s="29"/>
      <c r="AT3" s="29"/>
      <c r="AU3" s="29" t="s">
        <v>228</v>
      </c>
      <c r="AV3" s="29">
        <f>_xlfn.COUNTIFS($A$2:$A$44,"&lt;&gt;''",$AG$2:$AG$44,"=13")</f>
        <v>14</v>
      </c>
      <c r="AW3" s="29"/>
      <c r="AX3" s="29" t="s">
        <v>244</v>
      </c>
      <c r="AY3" s="29">
        <f>_xlfn.COUNTIFS($A$2:$A$44,"&lt;&gt;''",$AG$2:$AG$44,"=14")</f>
        <v>17</v>
      </c>
      <c r="AZ3" s="29"/>
      <c r="BB3" s="5"/>
      <c r="BC3" s="5"/>
    </row>
    <row r="4" spans="1:55" ht="14.25">
      <c r="A4" s="27">
        <v>42919</v>
      </c>
      <c r="B4" s="4">
        <f>3*2+2.5*2+10*2+30*2</f>
        <v>91</v>
      </c>
      <c r="C4" s="4">
        <f>B4*AD4</f>
        <v>44.772</v>
      </c>
      <c r="D4" s="4">
        <f>13+12</f>
        <v>25</v>
      </c>
      <c r="E4" s="4">
        <f>D4*AD4</f>
        <v>12.3</v>
      </c>
      <c r="F4" s="4">
        <v>30</v>
      </c>
      <c r="G4" s="4">
        <f>F4*AD4</f>
        <v>14.76</v>
      </c>
      <c r="I4" s="4">
        <f>H4*AD4</f>
        <v>0</v>
      </c>
      <c r="K4" s="4">
        <f>J4*AD4</f>
        <v>0</v>
      </c>
      <c r="L4" s="4">
        <v>80</v>
      </c>
      <c r="M4" s="4">
        <f>L4*AD4</f>
        <v>39.36</v>
      </c>
      <c r="O4" s="4">
        <f>N4*AD4</f>
        <v>0</v>
      </c>
      <c r="Q4" s="4">
        <f>P4*AD4</f>
        <v>0</v>
      </c>
      <c r="T4" s="4" t="s">
        <v>119</v>
      </c>
      <c r="AB4" s="4" t="s">
        <v>245</v>
      </c>
      <c r="AC4" s="4">
        <f>B4+D4+F4+H4+J4+L4+N4+P4</f>
        <v>226</v>
      </c>
      <c r="AD4" s="4">
        <f>492/1000</f>
        <v>0.492</v>
      </c>
      <c r="AE4" s="24">
        <f>AC4*AD4</f>
        <v>111.192</v>
      </c>
      <c r="AG4" s="4">
        <v>13</v>
      </c>
      <c r="AO4" s="4" t="s">
        <v>130</v>
      </c>
      <c r="AP4" s="4">
        <f>COUNTA(W2:W49)</f>
        <v>0</v>
      </c>
      <c r="AR4" s="29"/>
      <c r="AS4" s="29"/>
      <c r="AT4" s="29"/>
      <c r="AU4" s="29" t="s">
        <v>231</v>
      </c>
      <c r="AV4" s="29">
        <f>AV2/AV3</f>
        <v>103.13198571428573</v>
      </c>
      <c r="AW4" s="29"/>
      <c r="AX4" s="29" t="s">
        <v>246</v>
      </c>
      <c r="AY4" s="29">
        <f>AY2/AY3</f>
        <v>94.00370588235296</v>
      </c>
      <c r="AZ4" s="29"/>
      <c r="BB4" s="5"/>
      <c r="BC4" s="5"/>
    </row>
    <row r="5" spans="1:42" ht="14.25">
      <c r="A5" s="27">
        <v>42920</v>
      </c>
      <c r="B5" s="4">
        <f>60</f>
        <v>60</v>
      </c>
      <c r="C5" s="4">
        <f>B5*AD5</f>
        <v>29.52</v>
      </c>
      <c r="D5" s="4">
        <f>47+5</f>
        <v>52</v>
      </c>
      <c r="E5" s="4">
        <f>D5*AD5</f>
        <v>25.584</v>
      </c>
      <c r="G5" s="4">
        <f>F5*AD5</f>
        <v>0</v>
      </c>
      <c r="I5" s="4">
        <f>H5*AD5</f>
        <v>0</v>
      </c>
      <c r="K5" s="4">
        <f>J5*AD5</f>
        <v>0</v>
      </c>
      <c r="L5" s="4">
        <v>110</v>
      </c>
      <c r="M5" s="4">
        <f>L5*AD5</f>
        <v>54.12</v>
      </c>
      <c r="O5" s="4">
        <f>N5*AD5</f>
        <v>0</v>
      </c>
      <c r="Q5" s="4">
        <f>P5*AD5</f>
        <v>0</v>
      </c>
      <c r="T5" s="4" t="s">
        <v>119</v>
      </c>
      <c r="AB5" s="4" t="s">
        <v>247</v>
      </c>
      <c r="AC5" s="4">
        <f>B5+D5+F5+H5+J5+L5+N5+P5</f>
        <v>222</v>
      </c>
      <c r="AD5" s="4">
        <f>492/1000</f>
        <v>0.492</v>
      </c>
      <c r="AE5" s="24">
        <f>AC5*AD5</f>
        <v>109.224</v>
      </c>
      <c r="AG5" s="4">
        <v>13</v>
      </c>
      <c r="AI5" s="4" t="s">
        <v>134</v>
      </c>
      <c r="AJ5" s="4">
        <f>COUNTA(A2:A349)</f>
        <v>31</v>
      </c>
      <c r="AO5" s="4" t="s">
        <v>135</v>
      </c>
      <c r="AP5" s="4">
        <f>COUNTA(R2:R49)</f>
        <v>9</v>
      </c>
    </row>
    <row r="6" spans="1:42" ht="14.25">
      <c r="A6" s="27">
        <v>42921</v>
      </c>
      <c r="C6" s="4">
        <f>B6*AD6</f>
        <v>0</v>
      </c>
      <c r="D6" s="4">
        <v>52.45</v>
      </c>
      <c r="E6" s="4">
        <f>D6*AD6</f>
        <v>25.805400000000002</v>
      </c>
      <c r="G6" s="4">
        <f>F6*AD6</f>
        <v>0</v>
      </c>
      <c r="I6" s="4">
        <f>H6*AD6</f>
        <v>0</v>
      </c>
      <c r="K6" s="4">
        <f>J6*AD6</f>
        <v>0</v>
      </c>
      <c r="L6" s="4">
        <v>110</v>
      </c>
      <c r="M6" s="4">
        <f>L6*AD6</f>
        <v>54.12</v>
      </c>
      <c r="O6" s="4">
        <f>N6*AD6</f>
        <v>0</v>
      </c>
      <c r="Q6" s="4">
        <f>P6*AD6</f>
        <v>0</v>
      </c>
      <c r="T6" s="4" t="s">
        <v>119</v>
      </c>
      <c r="AB6" s="4" t="s">
        <v>248</v>
      </c>
      <c r="AC6" s="4">
        <f>B6+D6+F6+H6+J6+L6+N6+P6</f>
        <v>162.45</v>
      </c>
      <c r="AD6" s="4">
        <f>492/1000</f>
        <v>0.492</v>
      </c>
      <c r="AE6" s="24">
        <f>AC6*AD6</f>
        <v>79.9254</v>
      </c>
      <c r="AG6" s="4">
        <v>13</v>
      </c>
      <c r="AI6" s="30"/>
      <c r="AO6" s="4" t="s">
        <v>136</v>
      </c>
      <c r="AP6" s="4">
        <f>COUNTA(T2:T49)</f>
        <v>19</v>
      </c>
    </row>
    <row r="7" spans="1:42" ht="14.25">
      <c r="A7" s="27">
        <v>42922</v>
      </c>
      <c r="C7" s="4">
        <f>B7*AD7</f>
        <v>0</v>
      </c>
      <c r="D7" s="4">
        <v>57</v>
      </c>
      <c r="E7" s="4">
        <f>D7*AD7</f>
        <v>28.044</v>
      </c>
      <c r="G7" s="4">
        <f>F7*AD7</f>
        <v>0</v>
      </c>
      <c r="I7" s="4">
        <f>H7*AD7</f>
        <v>0</v>
      </c>
      <c r="K7" s="4">
        <f>J7*AD7</f>
        <v>0</v>
      </c>
      <c r="L7" s="4">
        <v>110</v>
      </c>
      <c r="M7" s="4">
        <f>L7*AD7</f>
        <v>54.12</v>
      </c>
      <c r="O7" s="4">
        <f>N7*AD7</f>
        <v>0</v>
      </c>
      <c r="Q7" s="4">
        <f>P7*AD7</f>
        <v>0</v>
      </c>
      <c r="T7" s="4" t="s">
        <v>119</v>
      </c>
      <c r="AB7" s="4" t="s">
        <v>248</v>
      </c>
      <c r="AC7" s="4">
        <f>B7+D7+F7+H7+J7+L7+N7+P7</f>
        <v>167</v>
      </c>
      <c r="AD7" s="4">
        <f>492/1000</f>
        <v>0.492</v>
      </c>
      <c r="AE7" s="24">
        <f>AC7*AD7</f>
        <v>82.164</v>
      </c>
      <c r="AG7" s="4">
        <v>13</v>
      </c>
      <c r="AL7" s="4" t="s">
        <v>138</v>
      </c>
      <c r="AO7" s="4" t="s">
        <v>109</v>
      </c>
      <c r="AP7" s="4">
        <f>COUNTA(U2:U49)</f>
        <v>0</v>
      </c>
    </row>
    <row r="8" spans="1:42" ht="14.25">
      <c r="A8" s="27">
        <v>42923</v>
      </c>
      <c r="C8" s="4">
        <f>B8*AD8</f>
        <v>0</v>
      </c>
      <c r="D8" s="4">
        <f>62.1+2.75</f>
        <v>64.85</v>
      </c>
      <c r="E8" s="4">
        <f>D8*AD8</f>
        <v>31.9062</v>
      </c>
      <c r="G8" s="4">
        <f>F8*AD8</f>
        <v>0</v>
      </c>
      <c r="I8" s="4">
        <f>H8*AD8</f>
        <v>0</v>
      </c>
      <c r="K8" s="4">
        <f>J8*AD8</f>
        <v>0</v>
      </c>
      <c r="L8" s="4">
        <v>110</v>
      </c>
      <c r="M8" s="4">
        <f>L8*AD8</f>
        <v>54.12</v>
      </c>
      <c r="O8" s="4">
        <f>N8*AD8</f>
        <v>0</v>
      </c>
      <c r="Q8" s="4">
        <f>P8*AD8</f>
        <v>0</v>
      </c>
      <c r="T8" s="4" t="s">
        <v>119</v>
      </c>
      <c r="AB8" s="4" t="s">
        <v>248</v>
      </c>
      <c r="AC8" s="4">
        <f>B8+D8+F8+H8+J8+L8+N8+P8</f>
        <v>174.85</v>
      </c>
      <c r="AD8" s="4">
        <f>492/1000</f>
        <v>0.492</v>
      </c>
      <c r="AE8" s="24">
        <f>AC8*AD8</f>
        <v>86.0262</v>
      </c>
      <c r="AG8" s="4">
        <v>13</v>
      </c>
      <c r="AI8" s="4" t="s">
        <v>140</v>
      </c>
      <c r="AJ8" s="26">
        <f>SUM(M2:M994)</f>
        <v>1128.7330849999998</v>
      </c>
      <c r="AL8" s="4" t="s">
        <v>103</v>
      </c>
      <c r="AM8" s="26">
        <f>AJ8/$AJ$5</f>
        <v>36.41074467741935</v>
      </c>
      <c r="AO8" s="4" t="s">
        <v>141</v>
      </c>
      <c r="AP8" s="4">
        <f>COUNTA(S2:S49)</f>
        <v>0</v>
      </c>
    </row>
    <row r="9" spans="1:42" ht="14.25">
      <c r="A9" s="27">
        <v>42924</v>
      </c>
      <c r="B9" s="1"/>
      <c r="C9" s="4">
        <f>B9*AD9</f>
        <v>0</v>
      </c>
      <c r="D9" s="4">
        <v>46.4</v>
      </c>
      <c r="E9" s="4">
        <f>D9*AD9</f>
        <v>22.828799999999998</v>
      </c>
      <c r="G9" s="4">
        <f>F9*AD9</f>
        <v>0</v>
      </c>
      <c r="I9" s="4">
        <f>H9*AD9</f>
        <v>0</v>
      </c>
      <c r="K9" s="4">
        <f>J9*AD9</f>
        <v>0</v>
      </c>
      <c r="L9" s="4">
        <v>110</v>
      </c>
      <c r="M9" s="4">
        <f>L9*AD9</f>
        <v>54.12</v>
      </c>
      <c r="O9" s="4">
        <f>N9*AD9</f>
        <v>0</v>
      </c>
      <c r="Q9" s="4">
        <f>P9*AD9</f>
        <v>0</v>
      </c>
      <c r="T9" s="4" t="s">
        <v>119</v>
      </c>
      <c r="AB9" s="4" t="s">
        <v>248</v>
      </c>
      <c r="AC9" s="4">
        <f>B9+D9+F9+H9+J9+L9+N9+P9</f>
        <v>156.4</v>
      </c>
      <c r="AD9" s="4">
        <f>492/1000</f>
        <v>0.492</v>
      </c>
      <c r="AE9" s="24">
        <f>AC9*AD9</f>
        <v>76.9488</v>
      </c>
      <c r="AG9" s="4">
        <v>13</v>
      </c>
      <c r="AI9" s="4" t="s">
        <v>143</v>
      </c>
      <c r="AJ9" s="26">
        <f>SUM(C2:C994)</f>
        <v>377.99275</v>
      </c>
      <c r="AL9" s="4" t="s">
        <v>93</v>
      </c>
      <c r="AM9" s="4">
        <f>AJ9/$AJ$5</f>
        <v>12.193314516129032</v>
      </c>
      <c r="AO9" s="4" t="s">
        <v>110</v>
      </c>
      <c r="AP9" s="4">
        <f>COUNTA(V2:V50)</f>
        <v>0</v>
      </c>
    </row>
    <row r="10" spans="1:42" ht="14.25">
      <c r="A10" s="27">
        <v>42925</v>
      </c>
      <c r="B10" s="4">
        <f>20*2</f>
        <v>40</v>
      </c>
      <c r="C10" s="4">
        <f>B10*AD10</f>
        <v>19.68</v>
      </c>
      <c r="D10" s="4">
        <f>10+6</f>
        <v>16</v>
      </c>
      <c r="E10" s="4">
        <f>D10*AD10</f>
        <v>7.872</v>
      </c>
      <c r="F10" s="4">
        <v>30</v>
      </c>
      <c r="G10" s="4">
        <f>F10*AD10</f>
        <v>14.76</v>
      </c>
      <c r="I10" s="4">
        <f>H10*AD10</f>
        <v>0</v>
      </c>
      <c r="J10" s="4">
        <v>5</v>
      </c>
      <c r="K10" s="4">
        <f>J10*AD10</f>
        <v>2.46</v>
      </c>
      <c r="L10" s="4">
        <v>80</v>
      </c>
      <c r="M10" s="4">
        <f>L10*AD10</f>
        <v>39.36</v>
      </c>
      <c r="O10" s="4">
        <f>N10*AD10</f>
        <v>0</v>
      </c>
      <c r="Q10" s="4">
        <f>P10*AD10</f>
        <v>0</v>
      </c>
      <c r="T10" s="4" t="s">
        <v>119</v>
      </c>
      <c r="AB10" s="4" t="s">
        <v>249</v>
      </c>
      <c r="AC10" s="4">
        <f>B10+D10+F10+H10+J10+L10+N10+P10</f>
        <v>171</v>
      </c>
      <c r="AD10" s="4">
        <f>492/1000</f>
        <v>0.492</v>
      </c>
      <c r="AE10" s="24">
        <f>AC10*AD10</f>
        <v>84.132</v>
      </c>
      <c r="AG10" s="4">
        <v>13</v>
      </c>
      <c r="AI10" s="4" t="s">
        <v>145</v>
      </c>
      <c r="AJ10" s="26">
        <f>SUM(E2:E994)</f>
        <v>745.72595</v>
      </c>
      <c r="AL10" s="4" t="s">
        <v>250</v>
      </c>
      <c r="AM10" s="4">
        <f>AJ10/$AJ$5</f>
        <v>24.055675806451614</v>
      </c>
      <c r="AO10" s="4" t="s">
        <v>184</v>
      </c>
      <c r="AP10" s="4">
        <f>COUNTA(Y2:Y51)</f>
        <v>3</v>
      </c>
    </row>
    <row r="11" spans="1:39" ht="14.25">
      <c r="A11" s="27">
        <v>42926</v>
      </c>
      <c r="B11" s="4">
        <f>20*4</f>
        <v>80</v>
      </c>
      <c r="C11" s="4">
        <f>B11*AD11</f>
        <v>39.36</v>
      </c>
      <c r="D11" s="4">
        <f>5+3+9+6+10+10</f>
        <v>43</v>
      </c>
      <c r="E11" s="4">
        <f>D11*AD11</f>
        <v>21.156</v>
      </c>
      <c r="F11" s="4">
        <v>30</v>
      </c>
      <c r="G11" s="4">
        <f>F11*AD11</f>
        <v>14.76</v>
      </c>
      <c r="H11" s="4">
        <f>50*2</f>
        <v>100</v>
      </c>
      <c r="I11" s="4">
        <f>H11*AD11</f>
        <v>49.2</v>
      </c>
      <c r="K11" s="4">
        <f>J11*AD11</f>
        <v>0</v>
      </c>
      <c r="M11" s="4">
        <f>L11*AD11</f>
        <v>0</v>
      </c>
      <c r="O11" s="4">
        <f>N11*AD11</f>
        <v>0</v>
      </c>
      <c r="Q11" s="4">
        <f>P11*AD11</f>
        <v>0</v>
      </c>
      <c r="T11" s="4" t="s">
        <v>119</v>
      </c>
      <c r="AB11" s="33" t="s">
        <v>251</v>
      </c>
      <c r="AC11" s="4">
        <f>B11+D11+F11+H11+J11+L11+N11+P11</f>
        <v>253</v>
      </c>
      <c r="AD11" s="4">
        <f>492/1000</f>
        <v>0.492</v>
      </c>
      <c r="AE11" s="24">
        <f>AC11*AD11</f>
        <v>124.476</v>
      </c>
      <c r="AG11" s="4">
        <v>13</v>
      </c>
      <c r="AI11" s="4" t="s">
        <v>149</v>
      </c>
      <c r="AJ11" s="26">
        <f>SUM(G2:G994)</f>
        <v>236.74088999999998</v>
      </c>
      <c r="AL11" s="4" t="s">
        <v>150</v>
      </c>
      <c r="AM11" s="26">
        <f>AJ11/$AJ$5</f>
        <v>7.636802903225806</v>
      </c>
    </row>
    <row r="12" spans="1:39" ht="14.25">
      <c r="A12" s="27">
        <v>42927</v>
      </c>
      <c r="B12" s="4">
        <f>90*2</f>
        <v>180</v>
      </c>
      <c r="C12" s="4">
        <f>B12*AD12</f>
        <v>88.56</v>
      </c>
      <c r="D12" s="4">
        <f>49.6+26+7</f>
        <v>82.6</v>
      </c>
      <c r="E12" s="4">
        <f>D12*AD12</f>
        <v>40.639199999999995</v>
      </c>
      <c r="G12" s="4">
        <f>F12*AD12</f>
        <v>0</v>
      </c>
      <c r="I12" s="4">
        <f>H12*AD12</f>
        <v>0</v>
      </c>
      <c r="K12" s="4">
        <f>J12*AD12</f>
        <v>0</v>
      </c>
      <c r="L12" s="4">
        <v>80</v>
      </c>
      <c r="M12" s="4">
        <f>L12*AD12</f>
        <v>39.36</v>
      </c>
      <c r="O12" s="4">
        <f>N12*AD12</f>
        <v>0</v>
      </c>
      <c r="Q12" s="4">
        <f>P12*AD12</f>
        <v>0</v>
      </c>
      <c r="T12" s="4" t="s">
        <v>119</v>
      </c>
      <c r="AB12" s="33" t="s">
        <v>252</v>
      </c>
      <c r="AC12" s="4">
        <f>B12+D12+F12+H12+J12+L12+N12+P12</f>
        <v>342.6</v>
      </c>
      <c r="AD12" s="4">
        <f>492/1000</f>
        <v>0.492</v>
      </c>
      <c r="AE12" s="24">
        <f>AC12*AD12</f>
        <v>168.5592</v>
      </c>
      <c r="AG12" s="4">
        <v>13</v>
      </c>
      <c r="AI12" s="4" t="s">
        <v>151</v>
      </c>
      <c r="AJ12" s="26">
        <f>SUM(K2:K994)</f>
        <v>29.437490000000004</v>
      </c>
      <c r="AL12" s="4" t="s">
        <v>101</v>
      </c>
      <c r="AM12" s="26">
        <f>AJ12/$AJ$5</f>
        <v>0.9495964516129034</v>
      </c>
    </row>
    <row r="13" spans="1:39" ht="14.25">
      <c r="A13" s="27">
        <v>42928</v>
      </c>
      <c r="B13" s="1"/>
      <c r="C13" s="4">
        <f>B13*AD13</f>
        <v>0</v>
      </c>
      <c r="D13" s="4">
        <f>62.15+5</f>
        <v>67.15</v>
      </c>
      <c r="E13" s="4">
        <f>D13*AD13</f>
        <v>33.037800000000004</v>
      </c>
      <c r="F13" s="4">
        <v>30</v>
      </c>
      <c r="G13" s="4">
        <f>F13*AD13</f>
        <v>14.76</v>
      </c>
      <c r="H13" s="4">
        <f>60*2</f>
        <v>120</v>
      </c>
      <c r="I13" s="4">
        <f>H13*AD13</f>
        <v>59.04</v>
      </c>
      <c r="K13" s="4">
        <f>J13*AD13</f>
        <v>0</v>
      </c>
      <c r="M13" s="4">
        <f>L13*AD13</f>
        <v>0</v>
      </c>
      <c r="O13" s="4">
        <f>N13*AD13</f>
        <v>0</v>
      </c>
      <c r="Q13" s="4">
        <f>P13*AD13</f>
        <v>0</v>
      </c>
      <c r="T13" s="4" t="s">
        <v>119</v>
      </c>
      <c r="AB13" s="33" t="s">
        <v>253</v>
      </c>
      <c r="AC13" s="4">
        <f>B13+D13+F13+H13+J13+L13+N13+P13</f>
        <v>217.15</v>
      </c>
      <c r="AD13" s="4">
        <f>492/1000</f>
        <v>0.492</v>
      </c>
      <c r="AE13" s="24">
        <f>AC13*AD13</f>
        <v>106.8378</v>
      </c>
      <c r="AG13" s="4">
        <v>13</v>
      </c>
      <c r="AI13" s="4" t="s">
        <v>153</v>
      </c>
      <c r="AJ13" s="4">
        <f>SUM(I2:I994)</f>
        <v>322.11286</v>
      </c>
      <c r="AL13" s="4" t="s">
        <v>99</v>
      </c>
      <c r="AM13" s="26">
        <f>AJ13/$AJ$5</f>
        <v>10.390737419354839</v>
      </c>
    </row>
    <row r="14" spans="1:36" ht="14.25">
      <c r="A14" s="27">
        <v>42929</v>
      </c>
      <c r="C14" s="4">
        <f>B14*AD14</f>
        <v>0</v>
      </c>
      <c r="D14" s="4">
        <f>46.2</f>
        <v>46.2</v>
      </c>
      <c r="E14" s="4">
        <f>D14*AD14</f>
        <v>22.7304</v>
      </c>
      <c r="F14" s="4">
        <v>30</v>
      </c>
      <c r="G14" s="4">
        <f>F14*AD14</f>
        <v>14.76</v>
      </c>
      <c r="H14" s="4">
        <v>300</v>
      </c>
      <c r="I14" s="4">
        <f>H14*AD14</f>
        <v>147.6</v>
      </c>
      <c r="K14" s="4">
        <f>J14*AD14</f>
        <v>0</v>
      </c>
      <c r="M14" s="4">
        <f>L14*AD14</f>
        <v>0</v>
      </c>
      <c r="O14" s="4">
        <f>N14*AD14</f>
        <v>0</v>
      </c>
      <c r="Q14" s="4">
        <f>P14*AD14</f>
        <v>0</v>
      </c>
      <c r="T14" s="4" t="s">
        <v>119</v>
      </c>
      <c r="AB14" s="33" t="s">
        <v>253</v>
      </c>
      <c r="AC14" s="4">
        <f>B14+D14+F14+H14+J14+L14+N14+P14</f>
        <v>376.2</v>
      </c>
      <c r="AD14" s="4">
        <f>492/1000</f>
        <v>0.492</v>
      </c>
      <c r="AE14" s="24">
        <f>AC14*AD14</f>
        <v>185.0904</v>
      </c>
      <c r="AG14" s="4">
        <v>13</v>
      </c>
      <c r="AI14" s="4" t="s">
        <v>163</v>
      </c>
      <c r="AJ14" s="26">
        <f>SUM(O2:O994)</f>
        <v>6.8027750000000005</v>
      </c>
    </row>
    <row r="15" spans="1:36" ht="14.25">
      <c r="A15" s="27">
        <v>42930</v>
      </c>
      <c r="C15" s="4">
        <f>B15*AD15</f>
        <v>0</v>
      </c>
      <c r="D15" s="4">
        <v>25.5</v>
      </c>
      <c r="E15" s="4">
        <f>D15*AD15</f>
        <v>12.546</v>
      </c>
      <c r="F15" s="4">
        <v>30</v>
      </c>
      <c r="G15" s="4">
        <f>F15*AD15</f>
        <v>14.76</v>
      </c>
      <c r="I15" s="4">
        <f>H15*AD15</f>
        <v>0</v>
      </c>
      <c r="K15" s="4">
        <f>J15*AD15</f>
        <v>0</v>
      </c>
      <c r="M15" s="4">
        <f>L15*AD15</f>
        <v>0</v>
      </c>
      <c r="O15" s="4">
        <f>N15*AD15</f>
        <v>0</v>
      </c>
      <c r="Q15" s="4">
        <f>P15*AD15</f>
        <v>0</v>
      </c>
      <c r="T15" s="4" t="s">
        <v>119</v>
      </c>
      <c r="AB15" s="33" t="s">
        <v>253</v>
      </c>
      <c r="AC15" s="4">
        <f>B15+D15+F15+H15+J15+L15+N15+P15</f>
        <v>55.5</v>
      </c>
      <c r="AD15" s="4">
        <f>492/1000</f>
        <v>0.492</v>
      </c>
      <c r="AE15" s="24">
        <f>AC15*AD15</f>
        <v>27.306</v>
      </c>
      <c r="AG15" s="4">
        <v>13</v>
      </c>
      <c r="AI15" s="4" t="s">
        <v>194</v>
      </c>
      <c r="AJ15" s="4">
        <f>SUM(Q2:Q600)</f>
        <v>194.365</v>
      </c>
    </row>
    <row r="16" spans="1:35" ht="14.25">
      <c r="A16" s="5"/>
      <c r="B16" s="4">
        <v>100</v>
      </c>
      <c r="C16" s="4">
        <f>B16*AD16</f>
        <v>49.2</v>
      </c>
      <c r="E16" s="4">
        <f>D16*AD16</f>
        <v>0</v>
      </c>
      <c r="G16" s="4">
        <f>F16*AD16</f>
        <v>0</v>
      </c>
      <c r="I16" s="4">
        <f>H16*AD16</f>
        <v>0</v>
      </c>
      <c r="K16" s="4">
        <f>J16*AD16</f>
        <v>0</v>
      </c>
      <c r="M16" s="4">
        <f>L16*AD16</f>
        <v>0</v>
      </c>
      <c r="O16" s="4">
        <f>N16*AD16</f>
        <v>0</v>
      </c>
      <c r="Q16" s="4">
        <f>P16*AD16</f>
        <v>0</v>
      </c>
      <c r="AB16" s="33" t="s">
        <v>254</v>
      </c>
      <c r="AC16" s="4">
        <f>B16+D16+F16+H16+J16+L16+N16+P16</f>
        <v>100</v>
      </c>
      <c r="AD16" s="4">
        <f>492/1000</f>
        <v>0.492</v>
      </c>
      <c r="AE16" s="24">
        <f>AC16*AD16</f>
        <v>49.2</v>
      </c>
      <c r="AG16" s="4">
        <v>13</v>
      </c>
      <c r="AI16" s="30"/>
    </row>
    <row r="17" spans="1:33" ht="14.25">
      <c r="A17" s="27">
        <v>42931</v>
      </c>
      <c r="B17" s="4">
        <f>150*2</f>
        <v>300</v>
      </c>
      <c r="C17" s="4">
        <f>B17*AD17</f>
        <v>58.3095</v>
      </c>
      <c r="D17" s="4">
        <f>22+18+11+30.5</f>
        <v>81.5</v>
      </c>
      <c r="E17" s="4">
        <f>D17*AD17</f>
        <v>15.8407475</v>
      </c>
      <c r="F17" s="4">
        <v>90</v>
      </c>
      <c r="G17" s="4">
        <f>F17*AD17</f>
        <v>17.49285</v>
      </c>
      <c r="I17" s="4">
        <f>H17*AD17</f>
        <v>0</v>
      </c>
      <c r="K17" s="4">
        <f>J17*AD17</f>
        <v>0</v>
      </c>
      <c r="L17" s="4">
        <v>250</v>
      </c>
      <c r="M17" s="4">
        <f>L17*AD17</f>
        <v>48.59125</v>
      </c>
      <c r="O17" s="4">
        <f>N17*AD17</f>
        <v>0</v>
      </c>
      <c r="P17" s="4">
        <f>500*2</f>
        <v>1000</v>
      </c>
      <c r="Q17" s="4">
        <f>P17*AD17</f>
        <v>194.365</v>
      </c>
      <c r="T17" s="4" t="s">
        <v>119</v>
      </c>
      <c r="AB17" s="33"/>
      <c r="AC17" s="4">
        <f>B17+D17+F17+H17+J17+L17+N17+P17</f>
        <v>1721.5</v>
      </c>
      <c r="AD17" s="4">
        <f>777.46/4000</f>
        <v>0.194365</v>
      </c>
      <c r="AE17" s="24">
        <f>AC17*AD17</f>
        <v>334.5993475</v>
      </c>
      <c r="AG17" s="4">
        <v>14</v>
      </c>
    </row>
    <row r="18" spans="1:36" ht="14.25">
      <c r="A18" s="27">
        <v>42932</v>
      </c>
      <c r="C18" s="4">
        <f>B18*AD18</f>
        <v>0</v>
      </c>
      <c r="D18" s="4">
        <f>128+26.5</f>
        <v>154.5</v>
      </c>
      <c r="E18" s="4">
        <f>D18*AD18</f>
        <v>30.0293925</v>
      </c>
      <c r="F18" s="4">
        <v>130</v>
      </c>
      <c r="G18" s="4">
        <f>F18*AD18</f>
        <v>25.26745</v>
      </c>
      <c r="I18" s="4">
        <f>H18*AD18</f>
        <v>0</v>
      </c>
      <c r="K18" s="4">
        <f>J18*AD18</f>
        <v>0</v>
      </c>
      <c r="L18" s="4">
        <v>250</v>
      </c>
      <c r="M18" s="4">
        <f>L18*AD18</f>
        <v>48.59125</v>
      </c>
      <c r="N18" s="4">
        <v>35</v>
      </c>
      <c r="O18" s="4">
        <f>N18*AD18</f>
        <v>6.8027750000000005</v>
      </c>
      <c r="Q18" s="4">
        <f>P18*AD18</f>
        <v>0</v>
      </c>
      <c r="T18" s="4" t="s">
        <v>119</v>
      </c>
      <c r="AB18" s="33" t="s">
        <v>255</v>
      </c>
      <c r="AC18" s="4">
        <f>B18+D18+F18+H18+J18+L18+N18+P18</f>
        <v>569.5</v>
      </c>
      <c r="AD18" s="4">
        <f>777.46/4000</f>
        <v>0.194365</v>
      </c>
      <c r="AE18" s="24">
        <f>AC18*AD18</f>
        <v>110.69086750000001</v>
      </c>
      <c r="AG18" s="4">
        <v>14</v>
      </c>
      <c r="AI18" s="4" t="s">
        <v>256</v>
      </c>
      <c r="AJ18" s="4">
        <f>SUM(AA2:AA50)</f>
        <v>11</v>
      </c>
    </row>
    <row r="19" spans="1:33" ht="14.25">
      <c r="A19" s="27">
        <v>42933</v>
      </c>
      <c r="C19" s="4">
        <f>B19*AD19</f>
        <v>0</v>
      </c>
      <c r="D19" s="4">
        <f>19+25+25+69</f>
        <v>138</v>
      </c>
      <c r="E19" s="4">
        <f>D19*AD19</f>
        <v>26.822370000000003</v>
      </c>
      <c r="F19" s="4">
        <v>108</v>
      </c>
      <c r="G19" s="4">
        <f>F19*AD19</f>
        <v>20.99142</v>
      </c>
      <c r="H19" s="4">
        <f>(32+70)*2</f>
        <v>204</v>
      </c>
      <c r="I19" s="4">
        <f>H19*AD19</f>
        <v>39.65046</v>
      </c>
      <c r="K19" s="4">
        <f>J19*AD19</f>
        <v>0</v>
      </c>
      <c r="L19" s="4">
        <v>250</v>
      </c>
      <c r="M19" s="4">
        <f>L19*AD19</f>
        <v>48.59125</v>
      </c>
      <c r="O19" s="4">
        <f>N19*AD19</f>
        <v>0</v>
      </c>
      <c r="Q19" s="4">
        <f>P19*AD19</f>
        <v>0</v>
      </c>
      <c r="T19" s="4" t="s">
        <v>119</v>
      </c>
      <c r="AA19" s="4">
        <v>3</v>
      </c>
      <c r="AB19" s="33" t="s">
        <v>255</v>
      </c>
      <c r="AC19" s="4">
        <f>B19+D19+F19+H19+J19+L19+N19+P19</f>
        <v>700</v>
      </c>
      <c r="AD19" s="4">
        <f>777.46/4000</f>
        <v>0.194365</v>
      </c>
      <c r="AE19" s="24">
        <f>AC19*AD19</f>
        <v>136.0555</v>
      </c>
      <c r="AG19" s="4">
        <v>14</v>
      </c>
    </row>
    <row r="20" spans="1:33" ht="14.25">
      <c r="A20" s="27">
        <v>42934</v>
      </c>
      <c r="C20" s="4">
        <f>B20*AD20</f>
        <v>0</v>
      </c>
      <c r="D20" s="4">
        <f>119</f>
        <v>119</v>
      </c>
      <c r="E20" s="4">
        <f>D20*AD20</f>
        <v>23.129435</v>
      </c>
      <c r="F20" s="4">
        <v>90</v>
      </c>
      <c r="G20" s="4">
        <f>F20*AD20</f>
        <v>17.49285</v>
      </c>
      <c r="I20" s="4">
        <f>H20*AD20</f>
        <v>0</v>
      </c>
      <c r="J20" s="4">
        <v>-6</v>
      </c>
      <c r="K20" s="4">
        <f>J20*AD20</f>
        <v>-1.16619</v>
      </c>
      <c r="L20" s="4">
        <v>250</v>
      </c>
      <c r="M20" s="4">
        <f>L20*AD20</f>
        <v>48.59125</v>
      </c>
      <c r="O20" s="4">
        <f>N20*AD20</f>
        <v>0</v>
      </c>
      <c r="Q20" s="4">
        <f>P20*AD20</f>
        <v>0</v>
      </c>
      <c r="T20" s="4" t="s">
        <v>119</v>
      </c>
      <c r="AB20" s="33" t="s">
        <v>255</v>
      </c>
      <c r="AC20" s="4">
        <f>B20+D20+F20+H20+J20+L20+N20+P20</f>
        <v>453</v>
      </c>
      <c r="AD20" s="4">
        <f>777.46/4000</f>
        <v>0.194365</v>
      </c>
      <c r="AE20" s="24">
        <f>AC20*AD20</f>
        <v>88.047345</v>
      </c>
      <c r="AG20" s="4">
        <v>14</v>
      </c>
    </row>
    <row r="21" spans="1:33" ht="14.25">
      <c r="A21" s="2">
        <v>42935</v>
      </c>
      <c r="B21" s="4">
        <v>50</v>
      </c>
      <c r="C21" s="4">
        <f>B21*AD21</f>
        <v>9.718250000000001</v>
      </c>
      <c r="D21" s="4">
        <f>156+9</f>
        <v>165</v>
      </c>
      <c r="E21" s="4">
        <f>D21*AD21</f>
        <v>32.070225</v>
      </c>
      <c r="G21" s="4">
        <f>F21*AD21</f>
        <v>0</v>
      </c>
      <c r="I21" s="4">
        <f>H21*AD21</f>
        <v>0</v>
      </c>
      <c r="K21" s="4">
        <f>J21*AD21</f>
        <v>0</v>
      </c>
      <c r="L21" s="4">
        <v>205</v>
      </c>
      <c r="M21" s="4">
        <f>L21*AD21</f>
        <v>39.844825</v>
      </c>
      <c r="O21" s="4">
        <f>N21*AD21</f>
        <v>0</v>
      </c>
      <c r="Q21" s="4">
        <f>P21*AD21</f>
        <v>0</v>
      </c>
      <c r="T21" s="4" t="s">
        <v>119</v>
      </c>
      <c r="AA21" s="4">
        <v>1</v>
      </c>
      <c r="AB21" s="33" t="s">
        <v>257</v>
      </c>
      <c r="AC21" s="4">
        <f>B21+D21+F21+H21+J21+L21+N21+P21</f>
        <v>420</v>
      </c>
      <c r="AD21" s="4">
        <f>777.46/4000</f>
        <v>0.194365</v>
      </c>
      <c r="AE21" s="24">
        <f>AC21*AD21</f>
        <v>81.6333</v>
      </c>
      <c r="AG21" s="4">
        <v>14</v>
      </c>
    </row>
    <row r="22" spans="1:33" ht="14.25">
      <c r="A22" s="27">
        <v>42936</v>
      </c>
      <c r="B22" s="4">
        <f>200</f>
        <v>200</v>
      </c>
      <c r="C22" s="4">
        <f>B22*AD22</f>
        <v>38.873000000000005</v>
      </c>
      <c r="D22" s="4">
        <f>50+40</f>
        <v>90</v>
      </c>
      <c r="E22" s="4">
        <f>D22*AD22</f>
        <v>17.49285</v>
      </c>
      <c r="G22" s="4">
        <f>F22*AD22</f>
        <v>0</v>
      </c>
      <c r="I22" s="4">
        <f>H22*AD22</f>
        <v>0</v>
      </c>
      <c r="K22" s="4">
        <f>J22*AD22</f>
        <v>0</v>
      </c>
      <c r="L22" s="4">
        <v>150</v>
      </c>
      <c r="M22" s="4">
        <f>L22*AD22</f>
        <v>29.15475</v>
      </c>
      <c r="O22" s="4">
        <f>N22*AD22</f>
        <v>0</v>
      </c>
      <c r="Q22" s="4">
        <f>P22*AD22</f>
        <v>0</v>
      </c>
      <c r="R22" s="4" t="s">
        <v>119</v>
      </c>
      <c r="AA22" s="4">
        <v>1</v>
      </c>
      <c r="AB22" s="33" t="s">
        <v>258</v>
      </c>
      <c r="AC22" s="4">
        <f>B22+D22+F22+H22+J22+L22+N22+P22</f>
        <v>440</v>
      </c>
      <c r="AD22" s="4">
        <f>777.46/4000</f>
        <v>0.194365</v>
      </c>
      <c r="AE22" s="24">
        <f>AC22*AD22</f>
        <v>85.5206</v>
      </c>
      <c r="AG22" s="4">
        <v>14</v>
      </c>
    </row>
    <row r="23" spans="1:33" ht="14.25">
      <c r="A23" s="27">
        <v>42937</v>
      </c>
      <c r="C23" s="4">
        <f>B23*AD23</f>
        <v>0</v>
      </c>
      <c r="D23" s="4">
        <f>22+98+41+33</f>
        <v>194</v>
      </c>
      <c r="E23" s="4">
        <f>D23*AD23</f>
        <v>37.706810000000004</v>
      </c>
      <c r="G23" s="4">
        <f>F23*AD23</f>
        <v>0</v>
      </c>
      <c r="I23" s="4">
        <f>H23*AD23</f>
        <v>0</v>
      </c>
      <c r="K23" s="4">
        <f>J23*AD23</f>
        <v>0</v>
      </c>
      <c r="L23" s="4">
        <v>150</v>
      </c>
      <c r="M23" s="4">
        <f>L23*AD23</f>
        <v>29.15475</v>
      </c>
      <c r="O23" s="4">
        <f>N23*AD23</f>
        <v>0</v>
      </c>
      <c r="Q23" s="4">
        <f>P23*AD23</f>
        <v>0</v>
      </c>
      <c r="R23" s="4" t="s">
        <v>119</v>
      </c>
      <c r="AB23" s="33" t="s">
        <v>259</v>
      </c>
      <c r="AC23" s="4">
        <f>B23+D23+F23+H23+J23+L23+N23+P23</f>
        <v>344</v>
      </c>
      <c r="AD23" s="4">
        <f>777.46/4000</f>
        <v>0.194365</v>
      </c>
      <c r="AE23" s="24">
        <f>AC23*AD23</f>
        <v>66.86156</v>
      </c>
      <c r="AG23" s="4">
        <v>14</v>
      </c>
    </row>
    <row r="24" spans="1:33" ht="14.25">
      <c r="A24" s="27">
        <v>42938</v>
      </c>
      <c r="C24" s="4">
        <f>B24*AD24</f>
        <v>0</v>
      </c>
      <c r="D24" s="4">
        <f>100+71</f>
        <v>171</v>
      </c>
      <c r="E24" s="4">
        <f>D24*AD24</f>
        <v>32.517360000000004</v>
      </c>
      <c r="G24" s="4">
        <f>F24*AD24</f>
        <v>0</v>
      </c>
      <c r="I24" s="4">
        <f>H24*AD24</f>
        <v>0</v>
      </c>
      <c r="K24" s="4">
        <f>J24*AD24</f>
        <v>0</v>
      </c>
      <c r="L24" s="4">
        <v>150</v>
      </c>
      <c r="M24" s="4">
        <f>L24*AD24</f>
        <v>28.524000000000004</v>
      </c>
      <c r="O24" s="4">
        <f>N24*AD24</f>
        <v>0</v>
      </c>
      <c r="Q24" s="4">
        <f>P24*AD24</f>
        <v>0</v>
      </c>
      <c r="R24" s="4" t="s">
        <v>119</v>
      </c>
      <c r="AB24" s="33" t="s">
        <v>259</v>
      </c>
      <c r="AC24" s="4">
        <f>B24+D24+F24+H24+J24+L24+N24+P24</f>
        <v>321</v>
      </c>
      <c r="AD24" s="4">
        <v>0.19016000000000002</v>
      </c>
      <c r="AE24" s="24">
        <f>AC24*AD24</f>
        <v>61.041360000000005</v>
      </c>
      <c r="AG24" s="4">
        <v>14</v>
      </c>
    </row>
    <row r="25" spans="1:33" ht="14.25">
      <c r="A25" s="27">
        <v>42939</v>
      </c>
      <c r="C25" s="4">
        <f>B25*AD25</f>
        <v>0</v>
      </c>
      <c r="D25" s="4">
        <f>76.5+10</f>
        <v>86.5</v>
      </c>
      <c r="E25" s="4">
        <f>D25*AD25</f>
        <v>16.44884</v>
      </c>
      <c r="G25" s="4">
        <f>F25*AD25</f>
        <v>0</v>
      </c>
      <c r="I25" s="4">
        <f>H25*AD25</f>
        <v>0</v>
      </c>
      <c r="J25" s="4">
        <f>74</f>
        <v>74</v>
      </c>
      <c r="K25" s="4">
        <f>J25*AD25</f>
        <v>14.071840000000002</v>
      </c>
      <c r="L25" s="4">
        <v>150</v>
      </c>
      <c r="M25" s="4">
        <f>L25*AD25</f>
        <v>28.524000000000004</v>
      </c>
      <c r="O25" s="4">
        <f>N25*AD25</f>
        <v>0</v>
      </c>
      <c r="Q25" s="4">
        <f>P25*AD25</f>
        <v>0</v>
      </c>
      <c r="R25" s="4" t="s">
        <v>119</v>
      </c>
      <c r="AB25" s="33" t="s">
        <v>259</v>
      </c>
      <c r="AC25" s="4">
        <f>B25+D25+F25+H25+J25+L25+N25+P25</f>
        <v>310.5</v>
      </c>
      <c r="AD25" s="4">
        <v>0.19016000000000002</v>
      </c>
      <c r="AE25" s="24">
        <f>AC25*AD25</f>
        <v>59.04468000000001</v>
      </c>
      <c r="AG25" s="4">
        <v>14</v>
      </c>
    </row>
    <row r="26" spans="1:33" ht="14.25">
      <c r="A26" s="27">
        <v>42940</v>
      </c>
      <c r="C26" s="4">
        <f>B26*AD26</f>
        <v>0</v>
      </c>
      <c r="D26" s="4">
        <f>84</f>
        <v>84</v>
      </c>
      <c r="E26" s="4">
        <f>D26*AD26</f>
        <v>15.973440000000002</v>
      </c>
      <c r="G26" s="4">
        <f>F26*AD26</f>
        <v>0</v>
      </c>
      <c r="I26" s="4">
        <f>H26*AD26</f>
        <v>0</v>
      </c>
      <c r="K26" s="4">
        <f>J26*AD26</f>
        <v>0</v>
      </c>
      <c r="L26" s="4">
        <v>150</v>
      </c>
      <c r="M26" s="4">
        <f>L26*AD26</f>
        <v>28.524000000000004</v>
      </c>
      <c r="O26" s="4">
        <f>N26*AD26</f>
        <v>0</v>
      </c>
      <c r="Q26" s="4">
        <f>P26*AD26</f>
        <v>0</v>
      </c>
      <c r="R26" s="4" t="s">
        <v>119</v>
      </c>
      <c r="AB26" s="4" t="s">
        <v>259</v>
      </c>
      <c r="AC26" s="4">
        <f>B26+D26+F26+H26+J26+L26+N26+P26</f>
        <v>234</v>
      </c>
      <c r="AD26" s="4">
        <v>0.19016000000000002</v>
      </c>
      <c r="AE26" s="24">
        <f>AC26*AD26</f>
        <v>44.497440000000005</v>
      </c>
      <c r="AG26" s="4">
        <v>14</v>
      </c>
    </row>
    <row r="27" spans="1:33" ht="14.25">
      <c r="A27" s="27">
        <v>42941</v>
      </c>
      <c r="C27" s="4">
        <f>B27*AD27</f>
        <v>0</v>
      </c>
      <c r="D27" s="4">
        <f>17+31+6+40</f>
        <v>94</v>
      </c>
      <c r="E27" s="4">
        <f>D27*AD27</f>
        <v>17.875040000000002</v>
      </c>
      <c r="F27" s="4">
        <v>140</v>
      </c>
      <c r="G27" s="4">
        <f>F27*AD27</f>
        <v>26.622400000000003</v>
      </c>
      <c r="I27" s="4">
        <f>H27*AD27</f>
        <v>0</v>
      </c>
      <c r="K27" s="4">
        <f>J27*AD27</f>
        <v>0</v>
      </c>
      <c r="L27" s="4">
        <v>100</v>
      </c>
      <c r="M27" s="4">
        <f>L27*AD27</f>
        <v>19.016000000000002</v>
      </c>
      <c r="O27" s="4">
        <f>N27*AD27</f>
        <v>0</v>
      </c>
      <c r="Q27" s="4">
        <f>P27*AD27</f>
        <v>0</v>
      </c>
      <c r="R27" s="4" t="s">
        <v>119</v>
      </c>
      <c r="AA27" s="4">
        <v>1</v>
      </c>
      <c r="AB27" s="4" t="s">
        <v>260</v>
      </c>
      <c r="AC27" s="4">
        <f>B27+D27+F27+H27+J27+L27+N27+P27</f>
        <v>334</v>
      </c>
      <c r="AD27" s="4">
        <v>0.19016000000000002</v>
      </c>
      <c r="AE27" s="24">
        <f>AC27*AD27</f>
        <v>63.51344000000001</v>
      </c>
      <c r="AG27" s="4">
        <v>14</v>
      </c>
    </row>
    <row r="28" spans="1:33" ht="14.25">
      <c r="A28" s="27">
        <v>42942</v>
      </c>
      <c r="C28" s="4">
        <f>B28*AD28</f>
        <v>0</v>
      </c>
      <c r="D28" s="4">
        <f>79+31+54</f>
        <v>164</v>
      </c>
      <c r="E28" s="4">
        <f>D28*AD28</f>
        <v>31.186240000000005</v>
      </c>
      <c r="F28" s="4">
        <v>110</v>
      </c>
      <c r="G28" s="4">
        <f>F28*AD28</f>
        <v>20.917600000000004</v>
      </c>
      <c r="I28" s="4">
        <f>H28*AD28</f>
        <v>0</v>
      </c>
      <c r="K28" s="4">
        <f>J28*AD28</f>
        <v>0</v>
      </c>
      <c r="L28" s="4">
        <v>100</v>
      </c>
      <c r="M28" s="4">
        <f>L28*AD28</f>
        <v>19.016000000000002</v>
      </c>
      <c r="O28" s="4">
        <f>N28*AD28</f>
        <v>0</v>
      </c>
      <c r="Q28" s="4">
        <f>P28*AD28</f>
        <v>0</v>
      </c>
      <c r="R28" s="4" t="s">
        <v>119</v>
      </c>
      <c r="AB28" s="4" t="s">
        <v>261</v>
      </c>
      <c r="AC28" s="4">
        <f>B28+D28+F28+H28+J28+L28+N28+P28</f>
        <v>374</v>
      </c>
      <c r="AD28" s="4">
        <v>0.19016000000000002</v>
      </c>
      <c r="AE28" s="24">
        <f>AC28*AD28</f>
        <v>71.11984000000001</v>
      </c>
      <c r="AG28" s="4">
        <v>14</v>
      </c>
    </row>
    <row r="29" spans="1:33" ht="14.25">
      <c r="A29" s="27">
        <v>42943</v>
      </c>
      <c r="C29" s="4">
        <f>B29*AD29</f>
        <v>0</v>
      </c>
      <c r="D29" s="4">
        <f>13+16+85+27+37</f>
        <v>178</v>
      </c>
      <c r="E29" s="4">
        <f>D29*AD29</f>
        <v>33.84848</v>
      </c>
      <c r="G29" s="4">
        <f>F29*AD29</f>
        <v>0</v>
      </c>
      <c r="I29" s="4">
        <f>H29*AD29</f>
        <v>0</v>
      </c>
      <c r="J29" s="4">
        <v>10</v>
      </c>
      <c r="K29" s="4">
        <f>J29*AD29</f>
        <v>1.9016000000000002</v>
      </c>
      <c r="L29" s="4">
        <v>260</v>
      </c>
      <c r="M29" s="4">
        <f>L29*AD29</f>
        <v>49.44160000000001</v>
      </c>
      <c r="O29" s="4">
        <f>N29*AD29</f>
        <v>0</v>
      </c>
      <c r="Q29" s="4">
        <f>P29*AD29</f>
        <v>0</v>
      </c>
      <c r="R29" s="4" t="s">
        <v>119</v>
      </c>
      <c r="AA29" s="4">
        <v>3</v>
      </c>
      <c r="AB29" s="4" t="s">
        <v>262</v>
      </c>
      <c r="AC29" s="4">
        <f>B29+D29+F29+H29+J29+L29+N29+P29</f>
        <v>448</v>
      </c>
      <c r="AD29" s="4">
        <v>0.19016000000000002</v>
      </c>
      <c r="AE29" s="24">
        <f>AC29*AD29</f>
        <v>85.19168</v>
      </c>
      <c r="AG29" s="4">
        <v>14</v>
      </c>
    </row>
    <row r="30" spans="1:33" ht="12.75">
      <c r="A30" s="27">
        <v>42944</v>
      </c>
      <c r="C30" s="4">
        <f>B30*AD30</f>
        <v>0</v>
      </c>
      <c r="D30" s="4">
        <f>11+13</f>
        <v>24</v>
      </c>
      <c r="E30" s="4">
        <f>D30*AD30</f>
        <v>4.563840000000001</v>
      </c>
      <c r="G30" s="4">
        <f>F30*AD30</f>
        <v>0</v>
      </c>
      <c r="H30" s="4">
        <f>70*2</f>
        <v>140</v>
      </c>
      <c r="I30" s="4">
        <f>H30*AD30</f>
        <v>26.622400000000003</v>
      </c>
      <c r="K30" s="4">
        <f>J30*AD30</f>
        <v>0</v>
      </c>
      <c r="L30" s="4">
        <v>260</v>
      </c>
      <c r="M30" s="4">
        <f>L30*AD30</f>
        <v>49.44160000000001</v>
      </c>
      <c r="O30" s="4">
        <f>N30*AD30</f>
        <v>0</v>
      </c>
      <c r="Q30" s="4">
        <f>P30*AD30</f>
        <v>0</v>
      </c>
      <c r="R30" s="4" t="s">
        <v>119</v>
      </c>
      <c r="AB30" s="4" t="s">
        <v>263</v>
      </c>
      <c r="AC30" s="4">
        <f>B30+D30+F30+H30+J30+L30+N30+P30</f>
        <v>424</v>
      </c>
      <c r="AD30" s="4">
        <v>0.19016000000000002</v>
      </c>
      <c r="AE30" s="24">
        <f>AC30*AD30</f>
        <v>80.62784</v>
      </c>
      <c r="AG30" s="4">
        <v>14</v>
      </c>
    </row>
    <row r="31" spans="1:33" ht="12.75">
      <c r="A31" s="27">
        <v>42945</v>
      </c>
      <c r="C31" s="4">
        <f>B31*AD31</f>
        <v>0</v>
      </c>
      <c r="D31" s="4">
        <v>120</v>
      </c>
      <c r="E31" s="4">
        <f>D31*AD31</f>
        <v>22.819200000000002</v>
      </c>
      <c r="F31" s="4">
        <f>17*3</f>
        <v>51</v>
      </c>
      <c r="G31" s="4">
        <f>F31*AD31</f>
        <v>9.698160000000001</v>
      </c>
      <c r="I31" s="4">
        <f>H31*AD31</f>
        <v>0</v>
      </c>
      <c r="K31" s="4">
        <f>J31*AD31</f>
        <v>0</v>
      </c>
      <c r="L31" s="4">
        <v>222</v>
      </c>
      <c r="M31" s="4">
        <f>L31*AD31</f>
        <v>42.215520000000005</v>
      </c>
      <c r="O31" s="4">
        <f>N31*AD31</f>
        <v>0</v>
      </c>
      <c r="Q31" s="4">
        <f>P31*AD31</f>
        <v>0</v>
      </c>
      <c r="Y31" s="4" t="s">
        <v>119</v>
      </c>
      <c r="AA31" s="4">
        <v>2</v>
      </c>
      <c r="AB31" s="4" t="s">
        <v>264</v>
      </c>
      <c r="AC31" s="4">
        <f>B31+D31+F31+H31+J31+L31+N31+P31</f>
        <v>393</v>
      </c>
      <c r="AD31" s="4">
        <v>0.19016000000000002</v>
      </c>
      <c r="AE31" s="24">
        <f>AC31*AD31</f>
        <v>74.73288000000001</v>
      </c>
      <c r="AG31" s="4">
        <v>14</v>
      </c>
    </row>
    <row r="32" spans="1:33" ht="12.75">
      <c r="A32" s="27">
        <v>42946</v>
      </c>
      <c r="C32" s="4">
        <f>B32*AD32</f>
        <v>0</v>
      </c>
      <c r="D32" s="4">
        <f>218</f>
        <v>218</v>
      </c>
      <c r="E32" s="4">
        <f>D32*AD32</f>
        <v>41.45488</v>
      </c>
      <c r="F32" s="4">
        <v>51</v>
      </c>
      <c r="G32" s="4">
        <f>F32*AD32</f>
        <v>9.698160000000001</v>
      </c>
      <c r="I32" s="4">
        <f>H32*AD32</f>
        <v>0</v>
      </c>
      <c r="J32" s="4">
        <v>14</v>
      </c>
      <c r="K32" s="4">
        <f>J32*AD32</f>
        <v>2.66224</v>
      </c>
      <c r="L32" s="4">
        <v>222</v>
      </c>
      <c r="M32" s="4">
        <f>L32*AD32</f>
        <v>42.215520000000005</v>
      </c>
      <c r="O32" s="4">
        <f>N32*AD32</f>
        <v>0</v>
      </c>
      <c r="Q32" s="4">
        <f>P32*AD32</f>
        <v>0</v>
      </c>
      <c r="Y32" s="4" t="s">
        <v>119</v>
      </c>
      <c r="AB32" s="4" t="s">
        <v>265</v>
      </c>
      <c r="AC32" s="4">
        <f>B32+D32+F32+H32+J32+L32+N32+P32</f>
        <v>505</v>
      </c>
      <c r="AD32" s="4">
        <v>0.19016000000000002</v>
      </c>
      <c r="AE32" s="24">
        <f>AC32*AD32</f>
        <v>96.03080000000001</v>
      </c>
      <c r="AG32" s="4">
        <v>14</v>
      </c>
    </row>
    <row r="33" spans="1:33" ht="12.75">
      <c r="A33" s="25">
        <v>42947</v>
      </c>
      <c r="C33" s="4">
        <f>B33*AD33</f>
        <v>0</v>
      </c>
      <c r="D33" s="4">
        <f>31+6.5</f>
        <v>37.5</v>
      </c>
      <c r="E33" s="4">
        <f>D33*AD33</f>
        <v>7.131000000000001</v>
      </c>
      <c r="G33" s="4">
        <f>F33*AD33</f>
        <v>0</v>
      </c>
      <c r="I33" s="4">
        <f>H33*AD33</f>
        <v>0</v>
      </c>
      <c r="J33" s="4">
        <v>50</v>
      </c>
      <c r="K33" s="4">
        <f>J33*AD33</f>
        <v>9.508000000000001</v>
      </c>
      <c r="L33" s="4">
        <v>222</v>
      </c>
      <c r="M33" s="4">
        <f>L33*AD33</f>
        <v>42.215520000000005</v>
      </c>
      <c r="O33" s="4">
        <f>N33*AD33</f>
        <v>0</v>
      </c>
      <c r="Q33" s="4">
        <f>P33*AD33</f>
        <v>0</v>
      </c>
      <c r="Y33" s="4" t="s">
        <v>119</v>
      </c>
      <c r="AB33" s="4" t="s">
        <v>265</v>
      </c>
      <c r="AC33" s="4">
        <f>B33+D33+F33+H33+J33+L33+N33+P33</f>
        <v>309.5</v>
      </c>
      <c r="AD33" s="4">
        <v>0.19016000000000002</v>
      </c>
      <c r="AE33" s="24">
        <f>AC33*AD33</f>
        <v>58.85452000000001</v>
      </c>
      <c r="AG33" s="4">
        <v>14</v>
      </c>
    </row>
    <row r="34" spans="1:33" ht="12.75">
      <c r="A34" s="25"/>
      <c r="C34" s="4">
        <f>B34*AD34</f>
        <v>0</v>
      </c>
      <c r="E34" s="4">
        <f>D34*AD34</f>
        <v>0</v>
      </c>
      <c r="G34" s="4">
        <f>F34*AD34</f>
        <v>0</v>
      </c>
      <c r="I34" s="4">
        <f>H34*AD34</f>
        <v>0</v>
      </c>
      <c r="K34" s="4">
        <f>J34*AD34</f>
        <v>0</v>
      </c>
      <c r="M34" s="4">
        <f>L34*AD34</f>
        <v>0</v>
      </c>
      <c r="O34" s="4">
        <f>N34*AD34</f>
        <v>0</v>
      </c>
      <c r="Q34" s="4">
        <f>P34*AD34</f>
        <v>0</v>
      </c>
      <c r="AC34" s="4">
        <f>B34+D34+F34+H34+J34+L34+N34+P34</f>
        <v>0</v>
      </c>
      <c r="AD34" s="4">
        <v>0.19016000000000002</v>
      </c>
      <c r="AE34" s="24">
        <f>AC34*AD34</f>
        <v>0</v>
      </c>
      <c r="AG34" s="4">
        <v>14</v>
      </c>
    </row>
    <row r="35" spans="3:31" ht="12.75">
      <c r="C35" s="4">
        <f>B35*AD35</f>
        <v>0</v>
      </c>
      <c r="E35" s="4">
        <f>D35*AD35</f>
        <v>0</v>
      </c>
      <c r="G35" s="4">
        <f>F35*AD35</f>
        <v>0</v>
      </c>
      <c r="I35" s="4">
        <f>H35*AD35</f>
        <v>0</v>
      </c>
      <c r="K35" s="4">
        <f>J35*AD35</f>
        <v>0</v>
      </c>
      <c r="M35" s="4">
        <f>L35*AD35</f>
        <v>0</v>
      </c>
      <c r="O35" s="4">
        <f>N35*AD35</f>
        <v>0</v>
      </c>
      <c r="Q35" s="4">
        <f>P35*AD35</f>
        <v>0</v>
      </c>
      <c r="AC35" s="4">
        <f>B35+D35+F35+H35+J35+L35+N35+P35</f>
        <v>0</v>
      </c>
      <c r="AD35" s="4">
        <f>(693.63/600000)</f>
        <v>0.00115605</v>
      </c>
      <c r="AE35" s="24">
        <f>AC35*AD35</f>
        <v>0</v>
      </c>
    </row>
    <row r="36" spans="3:31" ht="12.75">
      <c r="C36" s="4">
        <f>B36*AD36</f>
        <v>0</v>
      </c>
      <c r="E36" s="4">
        <f>D36*AD36</f>
        <v>0</v>
      </c>
      <c r="G36" s="4">
        <f>F36*AD36</f>
        <v>0</v>
      </c>
      <c r="I36" s="4">
        <f>H36*AD36</f>
        <v>0</v>
      </c>
      <c r="K36" s="4">
        <f>J36*AD36</f>
        <v>0</v>
      </c>
      <c r="M36" s="4">
        <f>L36*AD36</f>
        <v>0</v>
      </c>
      <c r="O36" s="4">
        <f>N36*AD36</f>
        <v>0</v>
      </c>
      <c r="Q36" s="4">
        <f>P36*AD36</f>
        <v>0</v>
      </c>
      <c r="AC36" s="4">
        <f>B36+D36+F36+H36+J36+L36+N36+P36</f>
        <v>0</v>
      </c>
      <c r="AD36" s="4">
        <f>(693.63/600000)</f>
        <v>0.00115605</v>
      </c>
      <c r="AE36" s="24">
        <f>AC36*AD36</f>
        <v>0</v>
      </c>
    </row>
    <row r="37" spans="3:31" ht="12.75">
      <c r="C37" s="4">
        <f>B37*AD37</f>
        <v>0</v>
      </c>
      <c r="E37" s="4">
        <f>D37*AD37</f>
        <v>0</v>
      </c>
      <c r="G37" s="4">
        <f>F37*AD37</f>
        <v>0</v>
      </c>
      <c r="I37" s="4">
        <f>H37*AD37</f>
        <v>0</v>
      </c>
      <c r="K37" s="4">
        <f>J37*AD37</f>
        <v>0</v>
      </c>
      <c r="M37" s="4">
        <f>L37*AD37</f>
        <v>0</v>
      </c>
      <c r="O37" s="4">
        <f>N37*AD37</f>
        <v>0</v>
      </c>
      <c r="Q37" s="4">
        <f>P37*AD37</f>
        <v>0</v>
      </c>
      <c r="AC37" s="4">
        <f>B37+D37+F37+H37+J37+L37+N37+P37</f>
        <v>0</v>
      </c>
      <c r="AD37" s="4">
        <f>(693.63/600000)</f>
        <v>0.00115605</v>
      </c>
      <c r="AE37" s="24">
        <f>AC37*AD37</f>
        <v>0</v>
      </c>
    </row>
    <row r="38" spans="3:31" ht="12.75">
      <c r="C38" s="4">
        <f>B38*AD38</f>
        <v>0</v>
      </c>
      <c r="E38" s="4">
        <f>D38*AD38</f>
        <v>0</v>
      </c>
      <c r="G38" s="4">
        <f>F38*AD38</f>
        <v>0</v>
      </c>
      <c r="I38" s="4">
        <f>H38*AD38</f>
        <v>0</v>
      </c>
      <c r="K38" s="4">
        <f>J38*AD38</f>
        <v>0</v>
      </c>
      <c r="M38" s="4">
        <f>L38*AD38</f>
        <v>0</v>
      </c>
      <c r="O38" s="4">
        <f>N38*AD38</f>
        <v>0</v>
      </c>
      <c r="Q38" s="4">
        <f>P38*AD38</f>
        <v>0</v>
      </c>
      <c r="AC38" s="4">
        <f>B38+D38+F38+H38+J38+L38+N38+P38</f>
        <v>0</v>
      </c>
      <c r="AD38" s="4">
        <f>(693.63/600000)</f>
        <v>0.00115605</v>
      </c>
      <c r="AE38" s="24">
        <f>AC38*AD38</f>
        <v>0</v>
      </c>
    </row>
    <row r="39" spans="3:31" ht="12.75">
      <c r="C39" s="4">
        <f>B39*AD39</f>
        <v>0</v>
      </c>
      <c r="E39" s="4">
        <f>D39*AD39</f>
        <v>0</v>
      </c>
      <c r="G39" s="4">
        <f>F39*AD39</f>
        <v>0</v>
      </c>
      <c r="I39" s="4">
        <f>H39*AD39</f>
        <v>0</v>
      </c>
      <c r="K39" s="4">
        <f>J39*AD39</f>
        <v>0</v>
      </c>
      <c r="M39" s="4">
        <f>L39*AD39</f>
        <v>0</v>
      </c>
      <c r="O39" s="4">
        <f>N39*AD39</f>
        <v>0</v>
      </c>
      <c r="Q39" s="4">
        <f>P39*AD39</f>
        <v>0</v>
      </c>
      <c r="AC39" s="4">
        <f>B39+D39+F39+H39+J39+L39+N39+P39</f>
        <v>0</v>
      </c>
      <c r="AD39" s="4">
        <f>(693.63/600000)</f>
        <v>0.00115605</v>
      </c>
      <c r="AE39" s="24">
        <f>AC39*AD39</f>
        <v>0</v>
      </c>
    </row>
    <row r="40" spans="3:31" ht="12.75">
      <c r="C40" s="4">
        <f>B40*AD40</f>
        <v>0</v>
      </c>
      <c r="E40" s="4">
        <f>D40*AD40</f>
        <v>0</v>
      </c>
      <c r="G40" s="4">
        <f>F40*AD40</f>
        <v>0</v>
      </c>
      <c r="I40" s="4">
        <f>H40*AD40</f>
        <v>0</v>
      </c>
      <c r="K40" s="4">
        <f>J40*AD40</f>
        <v>0</v>
      </c>
      <c r="M40" s="4">
        <f>L40*AD40</f>
        <v>0</v>
      </c>
      <c r="O40" s="4">
        <f>N40*AD40</f>
        <v>0</v>
      </c>
      <c r="Q40" s="4">
        <f>P40*AD40</f>
        <v>0</v>
      </c>
      <c r="AC40" s="4">
        <f>B40+D40+F40+H40+J40+L40+N40+P40</f>
        <v>0</v>
      </c>
      <c r="AD40" s="4">
        <f>(693.63/600000)</f>
        <v>0.00115605</v>
      </c>
      <c r="AE40" s="24">
        <f>AC40*AD40</f>
        <v>0</v>
      </c>
    </row>
    <row r="41" spans="3:31" ht="12.75">
      <c r="C41" s="4">
        <f>B41*AD41</f>
        <v>0</v>
      </c>
      <c r="E41" s="4">
        <f>D41*AD41</f>
        <v>0</v>
      </c>
      <c r="G41" s="4">
        <f>F41*AD41</f>
        <v>0</v>
      </c>
      <c r="I41" s="4">
        <f>H41*AD41</f>
        <v>0</v>
      </c>
      <c r="K41" s="4">
        <f>J41*AD41</f>
        <v>0</v>
      </c>
      <c r="M41" s="4">
        <f>L41*AD41</f>
        <v>0</v>
      </c>
      <c r="O41" s="4">
        <f>N41*AD41</f>
        <v>0</v>
      </c>
      <c r="Q41" s="4">
        <f>P41*AD41</f>
        <v>0</v>
      </c>
      <c r="AC41" s="4">
        <f>B41+D41+F41+H41+J41+L41+N41+P41</f>
        <v>0</v>
      </c>
      <c r="AD41" s="4">
        <f>(693.63/600000)</f>
        <v>0.00115605</v>
      </c>
      <c r="AE41" s="24">
        <f>AC41*AD41</f>
        <v>0</v>
      </c>
    </row>
    <row r="42" spans="3:31" ht="12.75">
      <c r="C42" s="4">
        <f>B42*AD42</f>
        <v>0</v>
      </c>
      <c r="E42" s="4">
        <f>D42*AD42</f>
        <v>0</v>
      </c>
      <c r="G42" s="4">
        <f>F42*AD42</f>
        <v>0</v>
      </c>
      <c r="I42" s="4">
        <f>H42*AD42</f>
        <v>0</v>
      </c>
      <c r="K42" s="4">
        <f>J42*AD42</f>
        <v>0</v>
      </c>
      <c r="M42" s="4">
        <f>L42*AD42</f>
        <v>0</v>
      </c>
      <c r="O42" s="4">
        <f>N42*AD42</f>
        <v>0</v>
      </c>
      <c r="Q42" s="4">
        <f>P42*AD42</f>
        <v>0</v>
      </c>
      <c r="AC42" s="4">
        <f>B42+D42+F42+H42+J42+L42+N42+P42</f>
        <v>0</v>
      </c>
      <c r="AD42" s="4">
        <f>(693.63/600000)</f>
        <v>0.00115605</v>
      </c>
      <c r="AE42" s="24">
        <f>AC42*AD42</f>
        <v>0</v>
      </c>
    </row>
    <row r="43" spans="3:31" ht="12.75">
      <c r="C43" s="4">
        <f>B43*AD43</f>
        <v>0</v>
      </c>
      <c r="E43" s="4">
        <f>D43*AD43</f>
        <v>0</v>
      </c>
      <c r="G43" s="4">
        <f>F43*AD43</f>
        <v>0</v>
      </c>
      <c r="I43" s="4">
        <f>H43*AD43</f>
        <v>0</v>
      </c>
      <c r="K43" s="4">
        <f>J43*AD43</f>
        <v>0</v>
      </c>
      <c r="M43" s="4">
        <f>L43*AD43</f>
        <v>0</v>
      </c>
      <c r="O43" s="4">
        <f>N43*AD43</f>
        <v>0</v>
      </c>
      <c r="Q43" s="4">
        <f>P43*AD43</f>
        <v>0</v>
      </c>
      <c r="AC43" s="4">
        <f>B43+D43+F43+H43+J43+L43+N43+P43</f>
        <v>0</v>
      </c>
      <c r="AD43" s="4">
        <f>(693.63/600000)</f>
        <v>0.00115605</v>
      </c>
      <c r="AE43" s="24">
        <f>AC43*AD43</f>
        <v>0</v>
      </c>
    </row>
    <row r="44" spans="3:31" ht="12.75">
      <c r="C44" s="4">
        <f>B44*AD44</f>
        <v>0</v>
      </c>
      <c r="E44" s="4">
        <f>D44*AD44</f>
        <v>0</v>
      </c>
      <c r="G44" s="4">
        <f>F44*AD44</f>
        <v>0</v>
      </c>
      <c r="I44" s="4">
        <f>H44*AD44</f>
        <v>0</v>
      </c>
      <c r="K44" s="4">
        <f>J44*AD44</f>
        <v>0</v>
      </c>
      <c r="M44" s="4">
        <f>L44*AD44</f>
        <v>0</v>
      </c>
      <c r="O44" s="4">
        <f>N44*AD44</f>
        <v>0</v>
      </c>
      <c r="Q44" s="4">
        <f>P44*AD44</f>
        <v>0</v>
      </c>
      <c r="AC44" s="4">
        <f>B44+D44+F44+H44+J44+L44+N44+P44</f>
        <v>0</v>
      </c>
      <c r="AD44" s="4">
        <f>(693.63/600000)</f>
        <v>0.00115605</v>
      </c>
      <c r="AE44" s="24">
        <f>AC44*AD44</f>
        <v>0</v>
      </c>
    </row>
    <row r="45" spans="3:31" ht="12.75">
      <c r="C45" s="4">
        <f>B45*AD45</f>
        <v>0</v>
      </c>
      <c r="E45" s="4">
        <f>D45*AD45</f>
        <v>0</v>
      </c>
      <c r="G45" s="4">
        <f>F45*AD45</f>
        <v>0</v>
      </c>
      <c r="I45" s="4">
        <f>H45*AD45</f>
        <v>0</v>
      </c>
      <c r="K45" s="4">
        <f>J45*AD45</f>
        <v>0</v>
      </c>
      <c r="M45" s="4">
        <f>L45*AD45</f>
        <v>0</v>
      </c>
      <c r="O45" s="4">
        <f>N45*AD45</f>
        <v>0</v>
      </c>
      <c r="Q45" s="4">
        <f>P45*AD45</f>
        <v>0</v>
      </c>
      <c r="AC45" s="4">
        <f>B45+D45+F45+H45+J45+L45+N45+P45</f>
        <v>0</v>
      </c>
      <c r="AD45" s="4">
        <f>(693.63/600000)</f>
        <v>0.00115605</v>
      </c>
      <c r="AE45" s="24">
        <f>AC45*AD45</f>
        <v>0</v>
      </c>
    </row>
    <row r="46" spans="3:31" ht="12.75">
      <c r="C46" s="4">
        <f>B46*AD46</f>
        <v>0</v>
      </c>
      <c r="E46" s="4">
        <f>D46*AD46</f>
        <v>0</v>
      </c>
      <c r="G46" s="4">
        <f>F46*AD46</f>
        <v>0</v>
      </c>
      <c r="I46" s="4">
        <f>H46*AD46</f>
        <v>0</v>
      </c>
      <c r="K46" s="4">
        <f>J46*AD46</f>
        <v>0</v>
      </c>
      <c r="M46" s="4">
        <f>L46*AD46</f>
        <v>0</v>
      </c>
      <c r="O46" s="4">
        <f>N46*AD46</f>
        <v>0</v>
      </c>
      <c r="Q46" s="4">
        <f>P46*AD46</f>
        <v>0</v>
      </c>
      <c r="AC46" s="4">
        <f>B46+D46+F46+H46+J46+L46+N46+P46</f>
        <v>0</v>
      </c>
      <c r="AD46" s="4">
        <f>(693.63/600000)</f>
        <v>0.00115605</v>
      </c>
      <c r="AE46" s="24">
        <f>AC46*AD46</f>
        <v>0</v>
      </c>
    </row>
    <row r="47" spans="3:31" ht="12.75">
      <c r="C47" s="4">
        <f>B47*AD47</f>
        <v>0</v>
      </c>
      <c r="E47" s="4">
        <f>D47*AD47</f>
        <v>0</v>
      </c>
      <c r="G47" s="4">
        <f>F47*AD47</f>
        <v>0</v>
      </c>
      <c r="I47" s="4">
        <f>H47*AD47</f>
        <v>0</v>
      </c>
      <c r="K47" s="4">
        <f>J47*AD47</f>
        <v>0</v>
      </c>
      <c r="M47" s="4">
        <f>L47*AD47</f>
        <v>0</v>
      </c>
      <c r="O47" s="4">
        <f>N47*AD47</f>
        <v>0</v>
      </c>
      <c r="Q47" s="4">
        <f>P47*AD47</f>
        <v>0</v>
      </c>
      <c r="AC47" s="4">
        <f>B47+D47+F47+H47+J47+L47+N47+P47</f>
        <v>0</v>
      </c>
      <c r="AD47" s="4">
        <f>(693.63/600000)</f>
        <v>0.00115605</v>
      </c>
      <c r="AE47" s="24">
        <f>AC47*AD47</f>
        <v>0</v>
      </c>
    </row>
    <row r="48" spans="3:31" ht="12.75">
      <c r="C48" s="4">
        <f>B48*AD48</f>
        <v>0</v>
      </c>
      <c r="E48" s="4">
        <f>D48*AD48</f>
        <v>0</v>
      </c>
      <c r="G48" s="4">
        <f>F48*AD48</f>
        <v>0</v>
      </c>
      <c r="I48" s="4">
        <f>H48*AD48</f>
        <v>0</v>
      </c>
      <c r="K48" s="4">
        <f>J48*AD48</f>
        <v>0</v>
      </c>
      <c r="M48" s="4">
        <f>L48*AD48</f>
        <v>0</v>
      </c>
      <c r="O48" s="4">
        <f>N48*AD48</f>
        <v>0</v>
      </c>
      <c r="Q48" s="4">
        <f>P48*AD48</f>
        <v>0</v>
      </c>
      <c r="AC48" s="4">
        <f>B48+D48+F48+H48+J48+L48+N48+P48</f>
        <v>0</v>
      </c>
      <c r="AD48" s="4">
        <f>(693.63/600000)</f>
        <v>0.00115605</v>
      </c>
      <c r="AE48" s="24">
        <f>AC48*AD48</f>
        <v>0</v>
      </c>
    </row>
    <row r="49" spans="3:31" ht="12.75">
      <c r="C49" s="4">
        <f>B49*AD49</f>
        <v>0</v>
      </c>
      <c r="E49" s="4">
        <f>D49*AD49</f>
        <v>0</v>
      </c>
      <c r="G49" s="4">
        <f>F49*AD49</f>
        <v>0</v>
      </c>
      <c r="I49" s="4">
        <f>H49*AD49</f>
        <v>0</v>
      </c>
      <c r="K49" s="4">
        <f>J49*AD49</f>
        <v>0</v>
      </c>
      <c r="M49" s="4">
        <f>L49*AD49</f>
        <v>0</v>
      </c>
      <c r="O49" s="4">
        <f>N49*AD49</f>
        <v>0</v>
      </c>
      <c r="Q49" s="4">
        <f>P49*AD49</f>
        <v>0</v>
      </c>
      <c r="AC49" s="4">
        <f>B49+D49+F49+H49+J49+L49+N49</f>
        <v>0</v>
      </c>
      <c r="AD49" s="4">
        <v>0.0061</v>
      </c>
      <c r="AE49" s="24">
        <f>AC49*AD49</f>
        <v>0</v>
      </c>
    </row>
    <row r="50" spans="3:31" ht="12.75">
      <c r="C50" s="4">
        <f>B50*AD50</f>
        <v>0</v>
      </c>
      <c r="E50" s="4">
        <f>D50*AD50</f>
        <v>0</v>
      </c>
      <c r="G50" s="4">
        <f>F50*AD50</f>
        <v>0</v>
      </c>
      <c r="I50" s="4">
        <f>H50*AD50</f>
        <v>0</v>
      </c>
      <c r="K50" s="4">
        <f>J50*AD50</f>
        <v>0</v>
      </c>
      <c r="M50" s="4">
        <f>L50*AD50</f>
        <v>0</v>
      </c>
      <c r="O50" s="4">
        <f>N50*AD50</f>
        <v>0</v>
      </c>
      <c r="Q50" s="4">
        <f>P50*AD50</f>
        <v>0</v>
      </c>
      <c r="AC50" s="4">
        <f>B50+D50+F50+H50+J50+L50+N50</f>
        <v>0</v>
      </c>
      <c r="AD50" s="4">
        <f>492/1000</f>
        <v>0.492</v>
      </c>
      <c r="AE50" s="24">
        <f>AC50*AD50</f>
        <v>0</v>
      </c>
    </row>
    <row r="51" spans="3:31" ht="12.75">
      <c r="C51" s="4">
        <f>B51*AD51</f>
        <v>0</v>
      </c>
      <c r="E51" s="4">
        <f>D51*AD51</f>
        <v>0</v>
      </c>
      <c r="G51" s="4">
        <f>F51*AD51</f>
        <v>0</v>
      </c>
      <c r="I51" s="4">
        <f>H51*AD51</f>
        <v>0</v>
      </c>
      <c r="K51" s="4">
        <f>J51*AD51</f>
        <v>0</v>
      </c>
      <c r="M51" s="4">
        <f>L51*AD51</f>
        <v>0</v>
      </c>
      <c r="O51" s="4">
        <f>N51*AD51</f>
        <v>0</v>
      </c>
      <c r="Q51" s="4">
        <f>P51*AD51</f>
        <v>0</v>
      </c>
      <c r="AC51" s="4">
        <f>B51+D51+F51+H51+J51+L51+N51</f>
        <v>0</v>
      </c>
      <c r="AE51" s="24">
        <f>AC51*AD51</f>
        <v>0</v>
      </c>
    </row>
    <row r="52" spans="3:31" ht="12.75">
      <c r="C52" s="4">
        <f>B52*AD52</f>
        <v>0</v>
      </c>
      <c r="E52" s="4">
        <f>D52*AD52</f>
        <v>0</v>
      </c>
      <c r="G52" s="4">
        <f>F52*AD52</f>
        <v>0</v>
      </c>
      <c r="I52" s="4">
        <f>H52*AD52</f>
        <v>0</v>
      </c>
      <c r="K52" s="4">
        <f>J52*AD52</f>
        <v>0</v>
      </c>
      <c r="M52" s="4">
        <f>L52*AD52</f>
        <v>0</v>
      </c>
      <c r="O52" s="4">
        <f>N52*AD52</f>
        <v>0</v>
      </c>
      <c r="Q52" s="4">
        <f>P52*AD52</f>
        <v>0</v>
      </c>
      <c r="AC52" s="4">
        <f>B52+D52+F52+H52+J52+L52+N52</f>
        <v>0</v>
      </c>
      <c r="AE52" s="24">
        <f>AC52*AD52</f>
        <v>0</v>
      </c>
    </row>
    <row r="53" spans="3:31" ht="12.75">
      <c r="C53" s="4">
        <f>B53*AD53</f>
        <v>0</v>
      </c>
      <c r="E53" s="4">
        <f>D53*AD53</f>
        <v>0</v>
      </c>
      <c r="G53" s="4">
        <f>F53*AD53</f>
        <v>0</v>
      </c>
      <c r="I53" s="4">
        <f>H53*AD53</f>
        <v>0</v>
      </c>
      <c r="K53" s="4">
        <f>J53*AD53</f>
        <v>0</v>
      </c>
      <c r="M53" s="4">
        <f>L53*AD53</f>
        <v>0</v>
      </c>
      <c r="O53" s="4">
        <f>N53*AD53</f>
        <v>0</v>
      </c>
      <c r="Q53" s="4">
        <f>P53*AD53</f>
        <v>0</v>
      </c>
      <c r="AC53" s="4">
        <f>B53+D53+F53+H53+J53+L53+N53</f>
        <v>0</v>
      </c>
      <c r="AE53" s="24">
        <f>AC53*AD53</f>
        <v>0</v>
      </c>
    </row>
    <row r="54" spans="3:31" ht="12.75">
      <c r="C54" s="4">
        <f>B54*AD54</f>
        <v>0</v>
      </c>
      <c r="E54" s="4">
        <f>D54*AD54</f>
        <v>0</v>
      </c>
      <c r="G54" s="4">
        <f>F54*AD54</f>
        <v>0</v>
      </c>
      <c r="I54" s="4">
        <f>H54*AD54</f>
        <v>0</v>
      </c>
      <c r="K54" s="4">
        <f>J54*AD54</f>
        <v>0</v>
      </c>
      <c r="M54" s="4">
        <f>L54*AD54</f>
        <v>0</v>
      </c>
      <c r="O54" s="4">
        <f>N54*AD54</f>
        <v>0</v>
      </c>
      <c r="Q54" s="4">
        <f>P54*AD54</f>
        <v>0</v>
      </c>
      <c r="AC54" s="4">
        <f>B54+D54+F54+H54+J54+L54+N54</f>
        <v>0</v>
      </c>
      <c r="AD54" s="4">
        <v>0.005925</v>
      </c>
      <c r="AE54" s="24">
        <f>AC54*AD54</f>
        <v>0</v>
      </c>
    </row>
    <row r="55" spans="3:31" ht="12.75">
      <c r="C55" s="4">
        <f>B55*AD55</f>
        <v>0</v>
      </c>
      <c r="E55" s="4">
        <f>D55*AD55</f>
        <v>0</v>
      </c>
      <c r="G55" s="4">
        <f>F55*AD55</f>
        <v>0</v>
      </c>
      <c r="I55" s="4">
        <f>H55*AD55</f>
        <v>0</v>
      </c>
      <c r="K55" s="4">
        <f>J55*AD55</f>
        <v>0</v>
      </c>
      <c r="M55" s="4">
        <f>L55*AD55</f>
        <v>0</v>
      </c>
      <c r="O55" s="4">
        <f>N55*AD55</f>
        <v>0</v>
      </c>
      <c r="Q55" s="4">
        <f>P55*AD55</f>
        <v>0</v>
      </c>
      <c r="AC55" s="4">
        <f>B55+D55+F55+H55+J55+L55+N55</f>
        <v>0</v>
      </c>
      <c r="AE55" s="24">
        <f>AC55*AD55</f>
        <v>0</v>
      </c>
    </row>
    <row r="56" spans="3:31" ht="12.75">
      <c r="C56" s="4">
        <f>B56*AD56</f>
        <v>0</v>
      </c>
      <c r="E56" s="4">
        <f>D56*AD56</f>
        <v>0</v>
      </c>
      <c r="G56" s="4">
        <f>F56*AD56</f>
        <v>0</v>
      </c>
      <c r="I56" s="4">
        <f>H56*AD56</f>
        <v>0</v>
      </c>
      <c r="K56" s="4">
        <f>J56*AD56</f>
        <v>0</v>
      </c>
      <c r="M56" s="4">
        <f>L56*AD56</f>
        <v>0</v>
      </c>
      <c r="O56" s="4">
        <f>N56*AD56</f>
        <v>0</v>
      </c>
      <c r="Q56" s="4">
        <f>P56*AD56</f>
        <v>0</v>
      </c>
      <c r="AC56" s="4">
        <f>B56+D56+F56+H56+J56+L56+N56</f>
        <v>0</v>
      </c>
      <c r="AE56" s="24">
        <f>AC56*AD56</f>
        <v>0</v>
      </c>
    </row>
    <row r="57" spans="3:31" ht="12.75">
      <c r="C57" s="4">
        <f>B57*AD57</f>
        <v>0</v>
      </c>
      <c r="E57" s="4">
        <f>D57*AD57</f>
        <v>0</v>
      </c>
      <c r="G57" s="4">
        <f>F57*AD57</f>
        <v>0</v>
      </c>
      <c r="I57" s="4">
        <f>H57*AD57</f>
        <v>0</v>
      </c>
      <c r="K57" s="4">
        <f>J57*AD57</f>
        <v>0</v>
      </c>
      <c r="M57" s="4">
        <f>L57*AD57</f>
        <v>0</v>
      </c>
      <c r="O57" s="4">
        <f>N57*AD57</f>
        <v>0</v>
      </c>
      <c r="Q57" s="4">
        <f>P57*AD57</f>
        <v>0</v>
      </c>
      <c r="AC57" s="4">
        <f>B57+D57+F57+H57+J57+L57+N57</f>
        <v>0</v>
      </c>
      <c r="AE57" s="24">
        <f>AC57*AD57</f>
        <v>0</v>
      </c>
    </row>
    <row r="58" spans="3:29" ht="12.75">
      <c r="C58" s="4">
        <f>B58*AD58</f>
        <v>0</v>
      </c>
      <c r="E58" s="4">
        <f>D58*AD58</f>
        <v>0</v>
      </c>
      <c r="G58" s="4">
        <f>F58*AD58</f>
        <v>0</v>
      </c>
      <c r="I58" s="4">
        <f>H58*AD58</f>
        <v>0</v>
      </c>
      <c r="K58" s="4">
        <f>J58*AD58</f>
        <v>0</v>
      </c>
      <c r="M58" s="4">
        <f>L58*AD58</f>
        <v>0</v>
      </c>
      <c r="O58" s="4">
        <f>N58*AD58</f>
        <v>0</v>
      </c>
      <c r="Q58" s="4">
        <f>P58*AD58</f>
        <v>0</v>
      </c>
      <c r="AC58" s="4">
        <f>B58+D58+F58+H58+J58+L58+N58</f>
        <v>0</v>
      </c>
    </row>
    <row r="59" spans="3:29" ht="12.75">
      <c r="C59" s="4">
        <f>B59*AD59</f>
        <v>0</v>
      </c>
      <c r="E59" s="4">
        <f>D59*AD59</f>
        <v>0</v>
      </c>
      <c r="G59" s="4">
        <f>F59*AD59</f>
        <v>0</v>
      </c>
      <c r="I59" s="4">
        <f>H59*AD59</f>
        <v>0</v>
      </c>
      <c r="K59" s="4">
        <f>J59*AD59</f>
        <v>0</v>
      </c>
      <c r="M59" s="4">
        <f>L59*AD59</f>
        <v>0</v>
      </c>
      <c r="O59" s="4">
        <f>N59*AD59</f>
        <v>0</v>
      </c>
      <c r="Q59" s="4">
        <f>P59*AD59</f>
        <v>0</v>
      </c>
      <c r="AC59" s="4">
        <f>B59+D59+F59+H59+J59+L59+N59</f>
        <v>0</v>
      </c>
    </row>
    <row r="60" spans="3:29" ht="12.75">
      <c r="C60" s="4">
        <f>B60*AD60</f>
        <v>0</v>
      </c>
      <c r="E60" s="4">
        <f>D60*AD60</f>
        <v>0</v>
      </c>
      <c r="G60" s="4">
        <f>F60*AD60</f>
        <v>0</v>
      </c>
      <c r="I60" s="4">
        <f>H60*AD60</f>
        <v>0</v>
      </c>
      <c r="K60" s="4">
        <f>J60*AD60</f>
        <v>0</v>
      </c>
      <c r="M60" s="4">
        <f>L60*AD60</f>
        <v>0</v>
      </c>
      <c r="O60" s="4">
        <f>N60*AD60</f>
        <v>0</v>
      </c>
      <c r="AC60" s="4">
        <f>B60+D60+F60+H60+J60+L60+N60</f>
        <v>0</v>
      </c>
    </row>
    <row r="61" spans="3:29" ht="12.75">
      <c r="C61" s="4">
        <f>B61*AD61</f>
        <v>0</v>
      </c>
      <c r="E61" s="4">
        <f>D61*AD61</f>
        <v>0</v>
      </c>
      <c r="G61" s="4">
        <f>F61*AD61</f>
        <v>0</v>
      </c>
      <c r="I61" s="4">
        <f>H61*AD61</f>
        <v>0</v>
      </c>
      <c r="K61" s="4">
        <f>J61*AD61</f>
        <v>0</v>
      </c>
      <c r="M61" s="4">
        <f>L61*AD61</f>
        <v>0</v>
      </c>
      <c r="O61" s="4">
        <f>N61*AD61</f>
        <v>0</v>
      </c>
      <c r="AC61" s="4">
        <f>B61+D61+F61+H61+J61+L61+N61</f>
        <v>0</v>
      </c>
    </row>
    <row r="62" spans="3:29" ht="12.75">
      <c r="C62" s="4">
        <f>B62*AD62</f>
        <v>0</v>
      </c>
      <c r="E62" s="4">
        <f>D62*AD62</f>
        <v>0</v>
      </c>
      <c r="G62" s="4">
        <f>F62*AD62</f>
        <v>0</v>
      </c>
      <c r="I62" s="4">
        <f>H62*AD62</f>
        <v>0</v>
      </c>
      <c r="K62" s="4">
        <f>J62*AD62</f>
        <v>0</v>
      </c>
      <c r="M62" s="4">
        <f>L62*AD62</f>
        <v>0</v>
      </c>
      <c r="AC62" s="4">
        <f>B62+D62+F62+H62+J62+L62+N62</f>
        <v>0</v>
      </c>
    </row>
    <row r="63" spans="3:29" ht="12.75">
      <c r="C63" s="4">
        <f>B63*AD63</f>
        <v>0</v>
      </c>
      <c r="E63" s="4">
        <f>D63*AD63</f>
        <v>0</v>
      </c>
      <c r="G63" s="4">
        <f>F63*AD63</f>
        <v>0</v>
      </c>
      <c r="I63" s="4">
        <f>H63*AD63</f>
        <v>0</v>
      </c>
      <c r="K63" s="4">
        <f>J63*AD63</f>
        <v>0</v>
      </c>
      <c r="M63" s="4">
        <f>L63*AD63</f>
        <v>0</v>
      </c>
      <c r="AC63" s="4">
        <f>B63+D63+F63+H63+J63+L63+N63</f>
        <v>0</v>
      </c>
    </row>
    <row r="64" spans="3:29" ht="12.75">
      <c r="C64" s="4">
        <f>B64*AD64</f>
        <v>0</v>
      </c>
      <c r="E64" s="4">
        <f>D64*AD64</f>
        <v>0</v>
      </c>
      <c r="G64" s="4">
        <f>F64*AD64</f>
        <v>0</v>
      </c>
      <c r="I64" s="4">
        <f>H64*AD64</f>
        <v>0</v>
      </c>
      <c r="K64" s="4">
        <f>J64*AD64</f>
        <v>0</v>
      </c>
      <c r="M64" s="4">
        <f>L64*AD64</f>
        <v>0</v>
      </c>
      <c r="AC64" s="4">
        <f>B64+D64+F64+H64+J64+L64+N64</f>
        <v>0</v>
      </c>
    </row>
    <row r="65" spans="3:29" ht="12.75">
      <c r="C65" s="4">
        <f>B65*AD65</f>
        <v>0</v>
      </c>
      <c r="E65" s="4">
        <f>D65*AD65</f>
        <v>0</v>
      </c>
      <c r="G65" s="4">
        <f>F65*AD65</f>
        <v>0</v>
      </c>
      <c r="I65" s="4">
        <f>H65*AD65</f>
        <v>0</v>
      </c>
      <c r="K65" s="4">
        <f>J65*AD65</f>
        <v>0</v>
      </c>
      <c r="M65" s="4">
        <f>L65*AD65</f>
        <v>0</v>
      </c>
      <c r="AC65" s="4">
        <f>B65+D65+F65+H65+J65+L65+N65</f>
        <v>0</v>
      </c>
    </row>
    <row r="66" spans="3:29" ht="12.75">
      <c r="C66" s="4">
        <f>B66*AD66</f>
        <v>0</v>
      </c>
      <c r="E66" s="4">
        <f>D66*AD66</f>
        <v>0</v>
      </c>
      <c r="G66" s="4">
        <f>F66*AD66</f>
        <v>0</v>
      </c>
      <c r="I66" s="4">
        <f>H66*AD66</f>
        <v>0</v>
      </c>
      <c r="K66" s="4">
        <f>J66*AD66</f>
        <v>0</v>
      </c>
      <c r="M66" s="4">
        <f>L66*AD66</f>
        <v>0</v>
      </c>
      <c r="AC66" s="4">
        <f>B66+D66+F66+H66+J66+L66+N66</f>
        <v>0</v>
      </c>
    </row>
    <row r="67" spans="3:29" ht="12.75">
      <c r="C67" s="4">
        <f>B67*AD67</f>
        <v>0</v>
      </c>
      <c r="E67" s="4">
        <f>D67*AD67</f>
        <v>0</v>
      </c>
      <c r="G67" s="4">
        <f>F67*AD67</f>
        <v>0</v>
      </c>
      <c r="I67" s="4">
        <f>H67*AD67</f>
        <v>0</v>
      </c>
      <c r="K67" s="4">
        <f>J67*AD67</f>
        <v>0</v>
      </c>
      <c r="M67" s="4">
        <f>L67*AD67</f>
        <v>0</v>
      </c>
      <c r="AC67" s="4">
        <f>B67+D67+F67+H67+J67+L67+N67</f>
        <v>0</v>
      </c>
    </row>
    <row r="68" spans="3:29" ht="12.75">
      <c r="C68" s="4">
        <f>B68*AD68</f>
        <v>0</v>
      </c>
      <c r="E68" s="4">
        <f>D68*AD68</f>
        <v>0</v>
      </c>
      <c r="G68" s="4">
        <f>F68*AD68</f>
        <v>0</v>
      </c>
      <c r="I68" s="4">
        <f>H68*AD68</f>
        <v>0</v>
      </c>
      <c r="K68" s="4">
        <f>J68*AD68</f>
        <v>0</v>
      </c>
      <c r="M68" s="4">
        <f>L68*AD68</f>
        <v>0</v>
      </c>
      <c r="AC68" s="4">
        <f>B68+D68+F68+H68+J68+L68+N68</f>
        <v>0</v>
      </c>
    </row>
    <row r="69" spans="3:29" ht="12.75">
      <c r="C69" s="4">
        <f>B69*AD69</f>
        <v>0</v>
      </c>
      <c r="E69" s="4">
        <f>D69*AD69</f>
        <v>0</v>
      </c>
      <c r="G69" s="4">
        <f>F69*AD69</f>
        <v>0</v>
      </c>
      <c r="I69" s="4">
        <f>H69*AD69</f>
        <v>0</v>
      </c>
      <c r="K69" s="4">
        <f>J69*AD69</f>
        <v>0</v>
      </c>
      <c r="M69" s="4">
        <f>L69*AD69</f>
        <v>0</v>
      </c>
      <c r="AC69" s="4">
        <f>B69+D69+F69+H69+J69+L69+N69</f>
        <v>0</v>
      </c>
    </row>
    <row r="70" spans="3:29" ht="12.75">
      <c r="C70" s="4">
        <f>B70*AD70</f>
        <v>0</v>
      </c>
      <c r="E70" s="4">
        <f>D70*AD70</f>
        <v>0</v>
      </c>
      <c r="G70" s="4">
        <f>F70*AD70</f>
        <v>0</v>
      </c>
      <c r="I70" s="4">
        <f>H70*AD70</f>
        <v>0</v>
      </c>
      <c r="K70" s="4">
        <f>J70*AD70</f>
        <v>0</v>
      </c>
      <c r="M70" s="4">
        <f>L70*AD70</f>
        <v>0</v>
      </c>
      <c r="AC70" s="4">
        <f>B70+D70+F70+H70+J70+L70+N70</f>
        <v>0</v>
      </c>
    </row>
    <row r="71" spans="3:29" ht="12.75">
      <c r="C71" s="4">
        <f>B71*AD71</f>
        <v>0</v>
      </c>
      <c r="E71" s="4">
        <f>D71*AD71</f>
        <v>0</v>
      </c>
      <c r="G71" s="4">
        <f>F71*AD71</f>
        <v>0</v>
      </c>
      <c r="I71" s="4">
        <f>H71*AD71</f>
        <v>0</v>
      </c>
      <c r="K71" s="4">
        <f>J71*AD71</f>
        <v>0</v>
      </c>
      <c r="M71" s="4">
        <f>L71*AD71</f>
        <v>0</v>
      </c>
      <c r="AC71" s="4">
        <f>B71+D71+F71+H71+J71+L71+N71</f>
        <v>0</v>
      </c>
    </row>
    <row r="72" spans="3:29" ht="12.75">
      <c r="C72" s="4">
        <f>B72*AD72</f>
        <v>0</v>
      </c>
      <c r="E72" s="4">
        <f>D72*AD72</f>
        <v>0</v>
      </c>
      <c r="G72" s="4">
        <f>F72*AD72</f>
        <v>0</v>
      </c>
      <c r="I72" s="4">
        <f>H72*AD72</f>
        <v>0</v>
      </c>
      <c r="K72" s="4">
        <f>J72*AD72</f>
        <v>0</v>
      </c>
      <c r="M72" s="4">
        <f>L72*AD72</f>
        <v>0</v>
      </c>
      <c r="AC72" s="4">
        <f>B72+D72+F72+H72+J72+L72+N72</f>
        <v>0</v>
      </c>
    </row>
    <row r="73" spans="3:29" ht="12.75">
      <c r="C73" s="4">
        <f>B73*AD73</f>
        <v>0</v>
      </c>
      <c r="E73" s="4">
        <f>D73*AD73</f>
        <v>0</v>
      </c>
      <c r="G73" s="4">
        <f>F73*AD73</f>
        <v>0</v>
      </c>
      <c r="I73" s="4">
        <f>H73*AD73</f>
        <v>0</v>
      </c>
      <c r="M73" s="4">
        <f>L73*AD73</f>
        <v>0</v>
      </c>
      <c r="AC73" s="4">
        <f>B73+D73+F73+H73+J73+L73+N73</f>
        <v>0</v>
      </c>
    </row>
    <row r="74" spans="3:29" ht="12.75">
      <c r="C74" s="4">
        <f>B74*AD74</f>
        <v>0</v>
      </c>
      <c r="E74" s="4">
        <f>D74*AD74</f>
        <v>0</v>
      </c>
      <c r="G74" s="4">
        <f>F74*AD74</f>
        <v>0</v>
      </c>
      <c r="I74" s="4">
        <f>H74*AD74</f>
        <v>0</v>
      </c>
      <c r="M74" s="4">
        <f>L74*AD74</f>
        <v>0</v>
      </c>
      <c r="AC74" s="4">
        <f>B74+D74+F74+H74+J74+L74+N74</f>
        <v>0</v>
      </c>
    </row>
    <row r="75" spans="3:29" ht="12.75">
      <c r="C75" s="4">
        <f>B75*AD75</f>
        <v>0</v>
      </c>
      <c r="E75" s="4">
        <f>D75*AD75</f>
        <v>0</v>
      </c>
      <c r="G75" s="4">
        <f>F75*AD75</f>
        <v>0</v>
      </c>
      <c r="I75" s="4">
        <f>H75*AD75</f>
        <v>0</v>
      </c>
      <c r="M75" s="4">
        <f>L75*AD75</f>
        <v>0</v>
      </c>
      <c r="AC75" s="4">
        <f>B75+D75+F75+H75+J75+L75+N75</f>
        <v>0</v>
      </c>
    </row>
    <row r="76" spans="3:29" ht="12.75">
      <c r="C76" s="4">
        <f>B76*AD76</f>
        <v>0</v>
      </c>
      <c r="E76" s="4">
        <f>D76*AD76</f>
        <v>0</v>
      </c>
      <c r="G76" s="4">
        <f>F76*AD76</f>
        <v>0</v>
      </c>
      <c r="I76" s="4">
        <f>H76*AD76</f>
        <v>0</v>
      </c>
      <c r="M76" s="4">
        <f>L76*AD76</f>
        <v>0</v>
      </c>
      <c r="AC76" s="4">
        <f>B76+D76+F76+H76+J76+L76+N76</f>
        <v>0</v>
      </c>
    </row>
    <row r="77" spans="3:29" ht="12.75">
      <c r="C77" s="4">
        <f>B77*AD77</f>
        <v>0</v>
      </c>
      <c r="E77" s="4">
        <f>D77*AD77</f>
        <v>0</v>
      </c>
      <c r="G77" s="4">
        <f>F77*AD77</f>
        <v>0</v>
      </c>
      <c r="I77" s="4">
        <f>H77*AD77</f>
        <v>0</v>
      </c>
      <c r="M77" s="4">
        <f>L77*AD77</f>
        <v>0</v>
      </c>
      <c r="AC77" s="4">
        <f>B77+D77+F77+H77+J77+L77+N77</f>
        <v>0</v>
      </c>
    </row>
    <row r="78" spans="3:29" ht="12.75">
      <c r="C78" s="4">
        <f>B78*AD78</f>
        <v>0</v>
      </c>
      <c r="E78" s="4">
        <f>D78*AD78</f>
        <v>0</v>
      </c>
      <c r="G78" s="4">
        <f>F78*AD78</f>
        <v>0</v>
      </c>
      <c r="I78" s="4">
        <f>H78*AD78</f>
        <v>0</v>
      </c>
      <c r="AC78" s="4">
        <f>B78+D78+F78+H78+J78+L78+N78</f>
        <v>0</v>
      </c>
    </row>
    <row r="79" spans="3:29" ht="12.75">
      <c r="C79" s="4">
        <f>B79*AD79</f>
        <v>0</v>
      </c>
      <c r="E79" s="4">
        <f>D79*AD79</f>
        <v>0</v>
      </c>
      <c r="G79" s="4">
        <f>F79*AD79</f>
        <v>0</v>
      </c>
      <c r="I79" s="4">
        <f>H79*AD79</f>
        <v>0</v>
      </c>
      <c r="AC79" s="4">
        <f>B79+D79+F79+H79+J79+L79+N79</f>
        <v>0</v>
      </c>
    </row>
    <row r="80" spans="3:29" ht="12.75">
      <c r="C80" s="4">
        <f>B80*AD80</f>
        <v>0</v>
      </c>
      <c r="E80" s="4">
        <f>D80*AD80</f>
        <v>0</v>
      </c>
      <c r="G80" s="4">
        <f>F80*AD80</f>
        <v>0</v>
      </c>
      <c r="I80" s="4">
        <f>H80*AD80</f>
        <v>0</v>
      </c>
      <c r="AC80" s="4">
        <f>B80+D80+F80+H80+J80+L80+N80</f>
        <v>0</v>
      </c>
    </row>
    <row r="81" spans="3:29" ht="12.75">
      <c r="C81" s="4">
        <f>B81*AD81</f>
        <v>0</v>
      </c>
      <c r="E81" s="4">
        <f>D81*AD81</f>
        <v>0</v>
      </c>
      <c r="G81" s="4">
        <f>F81*AD81</f>
        <v>0</v>
      </c>
      <c r="I81" s="4">
        <f>H81*AD81</f>
        <v>0</v>
      </c>
      <c r="AC81" s="4">
        <f>B81+D81+F81+H81+J81+L81+N81</f>
        <v>0</v>
      </c>
    </row>
    <row r="82" spans="3:29" ht="12.75">
      <c r="C82" s="4">
        <f>B82*AD82</f>
        <v>0</v>
      </c>
      <c r="E82" s="4">
        <f>D82*AD82</f>
        <v>0</v>
      </c>
      <c r="G82" s="4">
        <f>F82*AD82</f>
        <v>0</v>
      </c>
      <c r="I82" s="4">
        <f>H82*AD82</f>
        <v>0</v>
      </c>
      <c r="AC82" s="4">
        <f>B82+D82+F82+H82+J82+L82+N82</f>
        <v>0</v>
      </c>
    </row>
    <row r="83" spans="3:29" ht="12.75">
      <c r="C83" s="4">
        <f>B83*AD83</f>
        <v>0</v>
      </c>
      <c r="E83" s="4">
        <f>D83*AD83</f>
        <v>0</v>
      </c>
      <c r="AC83" s="4">
        <f>B83+D83+F83+H83+J83+L83+N83</f>
        <v>0</v>
      </c>
    </row>
    <row r="84" spans="3:29" ht="12.75">
      <c r="C84" s="4">
        <f>B84*AD84</f>
        <v>0</v>
      </c>
      <c r="E84" s="4">
        <f>D84*AD84</f>
        <v>0</v>
      </c>
      <c r="AC84" s="4">
        <f>B84+D84+F84+H84+J84+L84+N84</f>
        <v>0</v>
      </c>
    </row>
    <row r="85" spans="3:29" ht="12.75">
      <c r="C85" s="4">
        <f>B85*AD85</f>
        <v>0</v>
      </c>
      <c r="E85" s="4">
        <f>D85*AD85</f>
        <v>0</v>
      </c>
      <c r="AC85" s="4">
        <f>B85+D85+F85+H85+J85+L85+N85</f>
        <v>0</v>
      </c>
    </row>
    <row r="86" spans="3:29" ht="12.75">
      <c r="C86" s="4">
        <f>B86*AD86</f>
        <v>0</v>
      </c>
      <c r="E86" s="4">
        <f>D86*AD86</f>
        <v>0</v>
      </c>
      <c r="AC86" s="4">
        <f>B86+D86+F86+H86+J86+L86+N86</f>
        <v>0</v>
      </c>
    </row>
    <row r="87" spans="3:29" ht="12.75">
      <c r="C87" s="4">
        <f>B87*AD87</f>
        <v>0</v>
      </c>
      <c r="E87" s="4">
        <f>D87*AD87</f>
        <v>0</v>
      </c>
      <c r="AC87" s="4">
        <f>B87+D87+F87+H87+J87+L87+N87</f>
        <v>0</v>
      </c>
    </row>
    <row r="88" spans="3:29" ht="12.75">
      <c r="C88" s="4">
        <f>B88*AD88</f>
        <v>0</v>
      </c>
      <c r="E88" s="4">
        <f>D88*AD88</f>
        <v>0</v>
      </c>
      <c r="AC88" s="4">
        <f>B88+D88+F88+H88+J88+L88+N88</f>
        <v>0</v>
      </c>
    </row>
    <row r="89" spans="3:29" ht="12.75">
      <c r="C89" s="4">
        <f>B89*AD89</f>
        <v>0</v>
      </c>
      <c r="E89" s="4">
        <f>D89*AD89</f>
        <v>0</v>
      </c>
      <c r="AC89" s="4">
        <f>B89+D89+F89+H89+J89+L89+N89</f>
        <v>0</v>
      </c>
    </row>
    <row r="90" spans="3:29" ht="12.75">
      <c r="C90" s="4">
        <f>B90*AD90</f>
        <v>0</v>
      </c>
      <c r="E90" s="4">
        <f>D90*AD90</f>
        <v>0</v>
      </c>
      <c r="AC90" s="4">
        <f>B90+D90+F90+H90+J90+L90+N90</f>
        <v>0</v>
      </c>
    </row>
    <row r="91" spans="3:29" ht="12.75">
      <c r="C91" s="4">
        <f>B91*AD91</f>
        <v>0</v>
      </c>
      <c r="E91" s="4">
        <f>D91*AD91</f>
        <v>0</v>
      </c>
      <c r="AC91" s="4">
        <f>B91+D91+F91+H91+J91+L91+N91</f>
        <v>0</v>
      </c>
    </row>
    <row r="92" spans="3:29" ht="12.75">
      <c r="C92" s="4">
        <f>B92*AD92</f>
        <v>0</v>
      </c>
      <c r="E92" s="4">
        <f>D92*AD92</f>
        <v>0</v>
      </c>
      <c r="AC92" s="4">
        <f>B92+D92+F92+H92+J92+L92+N92</f>
        <v>0</v>
      </c>
    </row>
    <row r="93" spans="3:29" ht="12.75">
      <c r="C93" s="4">
        <f>B93*AD93</f>
        <v>0</v>
      </c>
      <c r="E93" s="4">
        <f>D93*AD93</f>
        <v>0</v>
      </c>
      <c r="AC93" s="4">
        <f>B93+D93+F93+H93+J93+L93+N93</f>
        <v>0</v>
      </c>
    </row>
    <row r="94" spans="3:29" ht="12.75">
      <c r="C94" s="4">
        <f>B94*AD94</f>
        <v>0</v>
      </c>
      <c r="E94" s="4">
        <f>D94*AD94</f>
        <v>0</v>
      </c>
      <c r="AC94" s="4">
        <f>B94+D94+F94+H94+J94+L94+N94</f>
        <v>0</v>
      </c>
    </row>
    <row r="95" spans="3:29" ht="12.75">
      <c r="C95" s="4">
        <f>B95*AD95</f>
        <v>0</v>
      </c>
      <c r="E95" s="4">
        <f>D95*AD95</f>
        <v>0</v>
      </c>
      <c r="AC95" s="4">
        <f>B95+D95+F95+H95+J95+L95+N95</f>
        <v>0</v>
      </c>
    </row>
    <row r="96" spans="3:29" ht="12.75">
      <c r="C96" s="4">
        <f>B96*AD96</f>
        <v>0</v>
      </c>
      <c r="E96" s="4">
        <f>D96*AD96</f>
        <v>0</v>
      </c>
      <c r="AC96" s="4">
        <f>B96+D96+F96+H96+J96+L96+N96</f>
        <v>0</v>
      </c>
    </row>
    <row r="97" spans="3:29" ht="12.75">
      <c r="C97" s="4">
        <f>B97*AD97</f>
        <v>0</v>
      </c>
      <c r="AC97" s="4">
        <f>B97+D97+F97+H97+J97+L97+N97</f>
        <v>0</v>
      </c>
    </row>
    <row r="98" spans="3:29" ht="12.75">
      <c r="C98" s="4">
        <f>B98*AD98</f>
        <v>0</v>
      </c>
      <c r="AC98" s="4">
        <f>B98+D98+F98+H98+J98+L98+N98</f>
        <v>0</v>
      </c>
    </row>
    <row r="99" spans="3:29" ht="12.75">
      <c r="C99" s="4">
        <f>B99*AD99</f>
        <v>0</v>
      </c>
      <c r="AC99" s="4">
        <f>B99+D99+F99+H99+J99+L99+N99</f>
        <v>0</v>
      </c>
    </row>
    <row r="100" spans="3:29" ht="12.75">
      <c r="C100" s="4">
        <f>B100*AD100</f>
        <v>0</v>
      </c>
      <c r="AC100" s="4">
        <f>B100+D100+F100+H100+J100+L100+N100</f>
        <v>0</v>
      </c>
    </row>
    <row r="101" spans="3:29" ht="12.75">
      <c r="C101" s="4">
        <f>B101*AD101</f>
        <v>0</v>
      </c>
      <c r="AC101" s="4">
        <f>B101+D101+F101+H101+J101+L101+N101</f>
        <v>0</v>
      </c>
    </row>
    <row r="102" spans="3:29" ht="12.75">
      <c r="C102" s="4">
        <f>B102*AD102</f>
        <v>0</v>
      </c>
      <c r="AC102" s="4">
        <f>B102+D102+F102+H102+J102+L102+N102</f>
        <v>0</v>
      </c>
    </row>
    <row r="103" spans="3:29" ht="12.75">
      <c r="C103" s="4">
        <f>B103*AD103</f>
        <v>0</v>
      </c>
      <c r="AC103" s="4">
        <f>B103+D103+F103+H103+J103+L103+N103</f>
        <v>0</v>
      </c>
    </row>
    <row r="104" spans="3:29" ht="12.75">
      <c r="C104" s="4">
        <f>B104*AD104</f>
        <v>0</v>
      </c>
      <c r="AC104" s="4">
        <f>B104+D104+F104+H104+J104+L104+N104</f>
        <v>0</v>
      </c>
    </row>
    <row r="105" spans="3:29" ht="12.75">
      <c r="C105" s="4">
        <f>B105*AD105</f>
        <v>0</v>
      </c>
      <c r="AC105" s="4">
        <f>B105+D105+F105+H105+J105+L105+N105</f>
        <v>0</v>
      </c>
    </row>
    <row r="106" spans="3:29" ht="12.75">
      <c r="C106" s="4">
        <f>B106*AD106</f>
        <v>0</v>
      </c>
      <c r="AC106" s="4">
        <f>B106+D106+F106+H106+J106+L106+N106</f>
        <v>0</v>
      </c>
    </row>
    <row r="107" spans="3:29" ht="12.75">
      <c r="C107" s="4">
        <f>B107*AD107</f>
        <v>0</v>
      </c>
      <c r="AC107" s="4">
        <f>B107+D107+F107+H107+J107+L107+N107</f>
        <v>0</v>
      </c>
    </row>
    <row r="108" spans="3:29" ht="12.75">
      <c r="C108" s="4">
        <f>B108*AD108</f>
        <v>0</v>
      </c>
      <c r="AC108" s="4">
        <f>B108+D108+F108+H108+J108+L108+N108</f>
        <v>0</v>
      </c>
    </row>
    <row r="109" spans="3:29" ht="12.75">
      <c r="C109" s="4">
        <f>B109*AD109</f>
        <v>0</v>
      </c>
      <c r="AC109" s="4">
        <f>B109+D109+F109+H109+J109+L109+N109</f>
        <v>0</v>
      </c>
    </row>
    <row r="110" spans="3:29" ht="12.75">
      <c r="C110" s="4">
        <f>B110*AD110</f>
        <v>0</v>
      </c>
      <c r="AC110" s="4">
        <f>B110+D110+F110+H110+J110+L110+N110</f>
        <v>0</v>
      </c>
    </row>
    <row r="111" spans="3:29" ht="12.75">
      <c r="C111" s="4">
        <f>B111*AD111</f>
        <v>0</v>
      </c>
      <c r="AC111" s="4">
        <f>B111+D111+F111+H111+J111+L111+N111</f>
        <v>0</v>
      </c>
    </row>
    <row r="112" spans="3:29" ht="12.75">
      <c r="C112" s="4">
        <f>B112*AD112</f>
        <v>0</v>
      </c>
      <c r="AC112" s="4">
        <f>B112+D112+F112+H112+J112+L112+N112</f>
        <v>0</v>
      </c>
    </row>
    <row r="113" spans="3:29" ht="12.75">
      <c r="C113" s="4">
        <f>B113*AD113</f>
        <v>0</v>
      </c>
      <c r="AC113" s="4">
        <f>B113+D113+F113+H113+J113+L113+N113</f>
        <v>0</v>
      </c>
    </row>
    <row r="114" spans="3:29" ht="12.75">
      <c r="C114" s="4">
        <f>B114*AD114</f>
        <v>0</v>
      </c>
      <c r="AC114" s="4">
        <f>B114+D114+F114+H114+J114+L114+N114</f>
        <v>0</v>
      </c>
    </row>
    <row r="115" spans="3:29" ht="12.75">
      <c r="C115" s="4">
        <f>B115*AD115</f>
        <v>0</v>
      </c>
      <c r="AC115" s="4">
        <f>B115+D115+F115+H115+J115+L115+N115</f>
        <v>0</v>
      </c>
    </row>
    <row r="116" spans="3:29" ht="12.75">
      <c r="C116" s="4">
        <f>B116*AD116</f>
        <v>0</v>
      </c>
      <c r="AC116" s="4">
        <f>B116+D116+F116+H116+J116+L116+N116</f>
        <v>0</v>
      </c>
    </row>
    <row r="117" spans="3:29" ht="12.75">
      <c r="C117" s="4">
        <f>B117*AD117</f>
        <v>0</v>
      </c>
      <c r="AC117" s="4">
        <f>B117+D117+F117+H117+J117+L117+N117</f>
        <v>0</v>
      </c>
    </row>
    <row r="118" spans="3:29" ht="12.75">
      <c r="C118" s="4">
        <f>B118*AD118</f>
        <v>0</v>
      </c>
      <c r="AC118" s="4">
        <f>B118+D118+F118+H118+J118+L118+N118</f>
        <v>0</v>
      </c>
    </row>
    <row r="119" spans="3:29" ht="12.75">
      <c r="C119" s="4">
        <f>B119*AD119</f>
        <v>0</v>
      </c>
      <c r="AC119" s="4">
        <f>B119+D119+F119+H119+J119+L119+N119</f>
        <v>0</v>
      </c>
    </row>
    <row r="120" spans="3:29" ht="12.75">
      <c r="C120" s="4">
        <f>B120*AD120</f>
        <v>0</v>
      </c>
      <c r="AC120" s="4">
        <f>B120+D120+F120+H120+J120+L120+N120</f>
        <v>0</v>
      </c>
    </row>
    <row r="121" spans="3:29" ht="12.75">
      <c r="C121" s="4">
        <f>B121*AD121</f>
        <v>0</v>
      </c>
      <c r="AC121" s="4">
        <f>B121+D121+F121+H121+J121+L121+N121</f>
        <v>0</v>
      </c>
    </row>
    <row r="122" spans="3:29" ht="12.75">
      <c r="C122" s="4">
        <f>B122*AD122</f>
        <v>0</v>
      </c>
      <c r="AC122" s="4">
        <f>B122+D122+F122+H122+J122+L122+N122</f>
        <v>0</v>
      </c>
    </row>
    <row r="123" spans="3:29" ht="12.75">
      <c r="C123" s="4">
        <f>B123*AD123</f>
        <v>0</v>
      </c>
      <c r="AC123" s="4">
        <f>B123+D123+F123+H123+J123+L123+N123</f>
        <v>0</v>
      </c>
    </row>
    <row r="124" spans="3:29" ht="12.75">
      <c r="C124" s="4">
        <f>B124*AD124</f>
        <v>0</v>
      </c>
      <c r="AC124" s="4">
        <f>B124+D124+F124+H124+J124+L124+N124</f>
        <v>0</v>
      </c>
    </row>
    <row r="125" spans="3:29" ht="12.75">
      <c r="C125" s="4">
        <f>B125*AD125</f>
        <v>0</v>
      </c>
      <c r="AC125" s="4">
        <f>B125+D125+F125+H125+J125+L125+N125</f>
        <v>0</v>
      </c>
    </row>
    <row r="126" spans="3:29" ht="12.75">
      <c r="C126" s="4">
        <f>B126*AD126</f>
        <v>0</v>
      </c>
      <c r="AC126" s="4">
        <f>B126+D126+F126+H126+J126+L126+N126</f>
        <v>0</v>
      </c>
    </row>
    <row r="127" spans="3:29" ht="12.75">
      <c r="C127" s="4">
        <f>B127*AD127</f>
        <v>0</v>
      </c>
      <c r="AC127" s="4">
        <f>B127+D127+F127+H127+J127+L127+N127</f>
        <v>0</v>
      </c>
    </row>
    <row r="128" spans="3:29" ht="12.75">
      <c r="C128" s="4">
        <f>B128*AD128</f>
        <v>0</v>
      </c>
      <c r="AC128" s="4">
        <f>B128+D128+F128+H128+J128+L128+N128</f>
        <v>0</v>
      </c>
    </row>
    <row r="129" spans="3:29" ht="12.75">
      <c r="C129" s="4">
        <f>B129*AD129</f>
        <v>0</v>
      </c>
      <c r="AC129" s="4">
        <f>B129+D129+F129+H129+J129+L129+N129</f>
        <v>0</v>
      </c>
    </row>
    <row r="130" spans="3:29" ht="12.75">
      <c r="C130" s="4">
        <f>B130*AD130</f>
        <v>0</v>
      </c>
      <c r="AC130" s="4">
        <f>B130+D130+F130+H130+J130+L130+N130</f>
        <v>0</v>
      </c>
    </row>
    <row r="131" spans="3:29" ht="12.75">
      <c r="C131" s="4">
        <f>B131*AD131</f>
        <v>0</v>
      </c>
      <c r="AC131" s="4">
        <f>B131+D131+F131+H131+J131+L131+N131</f>
        <v>0</v>
      </c>
    </row>
    <row r="132" spans="3:29" ht="12.75">
      <c r="C132" s="4">
        <f>B132*AD132</f>
        <v>0</v>
      </c>
      <c r="AC132" s="4">
        <f>B132+D132+F132+H132+J132+L132+N132</f>
        <v>0</v>
      </c>
    </row>
    <row r="133" ht="12.75">
      <c r="AC133" s="4">
        <f>B133+D133+F133+H133+J133+L133+N133</f>
        <v>0</v>
      </c>
    </row>
    <row r="134" ht="12.75">
      <c r="AC134" s="4">
        <f>B134+D134+F134+H134+J134+L134+N134</f>
        <v>0</v>
      </c>
    </row>
    <row r="135" ht="12.75">
      <c r="AC135" s="4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2017-08-08T12:18:32Z</dcterms:created>
  <dcterms:modified xsi:type="dcterms:W3CDTF">2018-08-01T06:29:43Z</dcterms:modified>
  <cp:category/>
  <cp:version/>
  <cp:contentType/>
  <cp:contentStatus/>
  <cp:revision>1213</cp:revision>
</cp:coreProperties>
</file>